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270" windowWidth="15480" windowHeight="8190" tabRatio="781" activeTab="0"/>
  </bookViews>
  <sheets>
    <sheet name="General Information" sheetId="1" r:id="rId1"/>
    <sheet name="Test Entry" sheetId="2" r:id="rId2"/>
    <sheet name="Test-2" sheetId="3" r:id="rId3"/>
    <sheet name="Test-1" sheetId="4" r:id="rId4"/>
    <sheet name="Test-3" sheetId="5" r:id="rId5"/>
    <sheet name="Results" sheetId="6" r:id="rId6"/>
    <sheet name="Fuel Moisture" sheetId="7" r:id="rId7"/>
    <sheet name="Calorific values" sheetId="8" r:id="rId8"/>
    <sheet name="Lists" sheetId="9" r:id="rId9"/>
  </sheets>
  <definedNames>
    <definedName name="FuelCalorific">'Calorific values'!$B$3:$M$91</definedName>
    <definedName name="fuelFracC">'General Information'!$L$23</definedName>
    <definedName name="_xlnm.Print_Area" localSheetId="6">'Fuel Moisture'!$A$1:$U$33</definedName>
    <definedName name="_xlnm.Print_Area" localSheetId="5">'Results'!$A$1:$N$45</definedName>
    <definedName name="version">'Lists'!$I$1</definedName>
    <definedName name="WindConditions">'Lists'!$A$3:$B$8</definedName>
  </definedNames>
  <calcPr fullCalcOnLoad="1"/>
</workbook>
</file>

<file path=xl/comments3.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5"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4.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5"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5.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5"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6.xml><?xml version="1.0" encoding="utf-8"?>
<comments xmlns="http://schemas.openxmlformats.org/spreadsheetml/2006/main">
  <authors>
    <author/>
  </authors>
  <commentList>
    <comment ref="K9" authorId="0">
      <text>
        <r>
          <rPr>
            <sz val="8"/>
            <color indexed="8"/>
            <rFont val="Times New Roman"/>
            <family val="1"/>
          </rPr>
          <t>Standard deviation is only calculated if all three tests are completed.</t>
        </r>
      </text>
    </comment>
    <comment ref="K19" authorId="0">
      <text>
        <r>
          <rPr>
            <sz val="8"/>
            <color indexed="8"/>
            <rFont val="Times New Roman"/>
            <family val="1"/>
          </rPr>
          <t>Standard deviation is only calculated if all three tests are completed.</t>
        </r>
      </text>
    </comment>
    <comment ref="K29" authorId="0">
      <text>
        <r>
          <rPr>
            <sz val="8"/>
            <color indexed="8"/>
            <rFont val="Times New Roman"/>
            <family val="1"/>
          </rPr>
          <t>Standard deviation is only calculated if all three tests are completed.</t>
        </r>
      </text>
    </comment>
  </commentList>
</comments>
</file>

<file path=xl/comments8.xml><?xml version="1.0" encoding="utf-8"?>
<comments xmlns="http://schemas.openxmlformats.org/spreadsheetml/2006/main">
  <authors>
    <author>Tami Bond</author>
  </authors>
  <commentList>
    <comment ref="L1" authorId="0">
      <text>
        <r>
          <rPr>
            <b/>
            <sz val="8"/>
            <rFont val="Tahoma"/>
            <family val="0"/>
          </rPr>
          <t>Tami Bond:</t>
        </r>
        <r>
          <rPr>
            <sz val="8"/>
            <rFont val="Tahoma"/>
            <family val="0"/>
          </rPr>
          <t xml:space="preserve">
No specific char values are presently included. However, they may be altered as more char data become available.</t>
        </r>
      </text>
    </comment>
  </commentList>
</comments>
</file>

<file path=xl/sharedStrings.xml><?xml version="1.0" encoding="utf-8"?>
<sst xmlns="http://schemas.openxmlformats.org/spreadsheetml/2006/main" count="2039" uniqueCount="857">
  <si>
    <t>COLD START HIGH POWER</t>
  </si>
  <si>
    <t>HOT START HIGH POWER (OPTIONAL)</t>
  </si>
  <si>
    <t>SIMMER TEST</t>
  </si>
  <si>
    <t>Start</t>
  </si>
  <si>
    <t>Finish: when</t>
  </si>
  <si>
    <t>Start:when</t>
  </si>
  <si>
    <t xml:space="preserve">Finish: 45 min </t>
  </si>
  <si>
    <t>Pot #1 boils</t>
  </si>
  <si>
    <t>after Pot #1 boils</t>
  </si>
  <si>
    <t>Qualitative data</t>
  </si>
  <si>
    <t>Measurements</t>
  </si>
  <si>
    <t>Units</t>
  </si>
  <si>
    <t>data</t>
  </si>
  <si>
    <t>label</t>
  </si>
  <si>
    <t>Name(s) of Tester(s)</t>
  </si>
  <si>
    <t>hr:min</t>
  </si>
  <si>
    <r>
      <t>t</t>
    </r>
    <r>
      <rPr>
        <vertAlign val="subscript"/>
        <sz val="9"/>
        <rFont val="Arial"/>
        <family val="2"/>
      </rPr>
      <t>ci</t>
    </r>
  </si>
  <si>
    <r>
      <t>t</t>
    </r>
    <r>
      <rPr>
        <vertAlign val="subscript"/>
        <sz val="9"/>
        <rFont val="Arial"/>
        <family val="2"/>
      </rPr>
      <t>cf</t>
    </r>
  </si>
  <si>
    <r>
      <t>t</t>
    </r>
    <r>
      <rPr>
        <vertAlign val="subscript"/>
        <sz val="9"/>
        <rFont val="Arial"/>
        <family val="2"/>
      </rPr>
      <t>hi</t>
    </r>
  </si>
  <si>
    <r>
      <t>t</t>
    </r>
    <r>
      <rPr>
        <vertAlign val="subscript"/>
        <sz val="9"/>
        <rFont val="Arial"/>
        <family val="2"/>
      </rPr>
      <t>hf</t>
    </r>
  </si>
  <si>
    <r>
      <t>t</t>
    </r>
    <r>
      <rPr>
        <vertAlign val="subscript"/>
        <sz val="9"/>
        <rFont val="Arial"/>
        <family val="2"/>
      </rPr>
      <t>si</t>
    </r>
  </si>
  <si>
    <r>
      <t>t</t>
    </r>
    <r>
      <rPr>
        <vertAlign val="subscript"/>
        <sz val="9"/>
        <rFont val="Arial"/>
        <family val="2"/>
      </rPr>
      <t>sf</t>
    </r>
  </si>
  <si>
    <t>Weight of wood</t>
  </si>
  <si>
    <t>g</t>
  </si>
  <si>
    <r>
      <t>f</t>
    </r>
    <r>
      <rPr>
        <vertAlign val="subscript"/>
        <sz val="9"/>
        <rFont val="Arial"/>
        <family val="2"/>
      </rPr>
      <t>ci</t>
    </r>
  </si>
  <si>
    <r>
      <t>f</t>
    </r>
    <r>
      <rPr>
        <vertAlign val="subscript"/>
        <sz val="9"/>
        <rFont val="Arial"/>
        <family val="2"/>
      </rPr>
      <t>cf</t>
    </r>
  </si>
  <si>
    <r>
      <t>f</t>
    </r>
    <r>
      <rPr>
        <vertAlign val="subscript"/>
        <sz val="9"/>
        <rFont val="Arial"/>
        <family val="2"/>
      </rPr>
      <t>hi</t>
    </r>
  </si>
  <si>
    <r>
      <t>f</t>
    </r>
    <r>
      <rPr>
        <vertAlign val="subscript"/>
        <sz val="9"/>
        <rFont val="Arial"/>
        <family val="2"/>
      </rPr>
      <t>hf</t>
    </r>
  </si>
  <si>
    <r>
      <t>f</t>
    </r>
    <r>
      <rPr>
        <vertAlign val="subscript"/>
        <sz val="9"/>
        <rFont val="Arial"/>
        <family val="2"/>
      </rPr>
      <t>si</t>
    </r>
  </si>
  <si>
    <r>
      <t>f</t>
    </r>
    <r>
      <rPr>
        <vertAlign val="subscript"/>
        <sz val="9"/>
        <rFont val="Arial"/>
        <family val="2"/>
      </rPr>
      <t>sf</t>
    </r>
  </si>
  <si>
    <t>Test Number</t>
  </si>
  <si>
    <t>Water temperature, Pot # 1</t>
  </si>
  <si>
    <t>ºC</t>
  </si>
  <si>
    <r>
      <t>T1</t>
    </r>
    <r>
      <rPr>
        <vertAlign val="subscript"/>
        <sz val="9"/>
        <rFont val="Arial"/>
        <family val="2"/>
      </rPr>
      <t>ci</t>
    </r>
  </si>
  <si>
    <r>
      <t>T1</t>
    </r>
    <r>
      <rPr>
        <vertAlign val="subscript"/>
        <sz val="9"/>
        <rFont val="Arial"/>
        <family val="2"/>
      </rPr>
      <t>cf</t>
    </r>
  </si>
  <si>
    <r>
      <t>T1</t>
    </r>
    <r>
      <rPr>
        <vertAlign val="subscript"/>
        <sz val="9"/>
        <rFont val="Arial"/>
        <family val="2"/>
      </rPr>
      <t>hi</t>
    </r>
  </si>
  <si>
    <r>
      <t>T1</t>
    </r>
    <r>
      <rPr>
        <vertAlign val="subscript"/>
        <sz val="9"/>
        <rFont val="Arial"/>
        <family val="2"/>
      </rPr>
      <t>hf</t>
    </r>
  </si>
  <si>
    <r>
      <t>T1</t>
    </r>
    <r>
      <rPr>
        <vertAlign val="subscript"/>
        <sz val="9"/>
        <rFont val="Arial"/>
        <family val="2"/>
      </rPr>
      <t>si</t>
    </r>
  </si>
  <si>
    <r>
      <t>T1</t>
    </r>
    <r>
      <rPr>
        <vertAlign val="subscript"/>
        <sz val="9"/>
        <rFont val="Arial"/>
        <family val="2"/>
      </rPr>
      <t>sf</t>
    </r>
  </si>
  <si>
    <t>Date</t>
  </si>
  <si>
    <t>Water temperature, Pot # 2</t>
  </si>
  <si>
    <r>
      <t>T2</t>
    </r>
    <r>
      <rPr>
        <vertAlign val="subscript"/>
        <sz val="9"/>
        <rFont val="Arial"/>
        <family val="2"/>
      </rPr>
      <t>cf</t>
    </r>
  </si>
  <si>
    <r>
      <t>T2</t>
    </r>
    <r>
      <rPr>
        <vertAlign val="subscript"/>
        <sz val="9"/>
        <rFont val="Arial"/>
        <family val="2"/>
      </rPr>
      <t>hi</t>
    </r>
  </si>
  <si>
    <r>
      <t>T2</t>
    </r>
    <r>
      <rPr>
        <vertAlign val="subscript"/>
        <sz val="9"/>
        <rFont val="Arial"/>
        <family val="2"/>
      </rPr>
      <t>hf</t>
    </r>
  </si>
  <si>
    <r>
      <t>T2</t>
    </r>
    <r>
      <rPr>
        <vertAlign val="subscript"/>
        <sz val="9"/>
        <rFont val="Arial"/>
        <family val="2"/>
      </rPr>
      <t>si</t>
    </r>
  </si>
  <si>
    <r>
      <t>T2</t>
    </r>
    <r>
      <rPr>
        <vertAlign val="subscript"/>
        <sz val="9"/>
        <rFont val="Arial"/>
        <family val="2"/>
      </rPr>
      <t>sf</t>
    </r>
  </si>
  <si>
    <t>Stove type/model</t>
  </si>
  <si>
    <t>Water temperature, Pot # 3</t>
  </si>
  <si>
    <r>
      <t>T3</t>
    </r>
    <r>
      <rPr>
        <vertAlign val="subscript"/>
        <sz val="9"/>
        <rFont val="Arial"/>
        <family val="2"/>
      </rPr>
      <t>cf</t>
    </r>
  </si>
  <si>
    <r>
      <t>T3</t>
    </r>
    <r>
      <rPr>
        <vertAlign val="subscript"/>
        <sz val="9"/>
        <rFont val="Arial"/>
        <family val="2"/>
      </rPr>
      <t>hi</t>
    </r>
  </si>
  <si>
    <r>
      <t>T3</t>
    </r>
    <r>
      <rPr>
        <vertAlign val="subscript"/>
        <sz val="9"/>
        <rFont val="Arial"/>
        <family val="2"/>
      </rPr>
      <t>hf</t>
    </r>
  </si>
  <si>
    <r>
      <t>T3</t>
    </r>
    <r>
      <rPr>
        <vertAlign val="subscript"/>
        <sz val="9"/>
        <rFont val="Arial"/>
        <family val="2"/>
      </rPr>
      <t>si</t>
    </r>
  </si>
  <si>
    <r>
      <t>T3</t>
    </r>
    <r>
      <rPr>
        <vertAlign val="subscript"/>
        <sz val="9"/>
        <rFont val="Arial"/>
        <family val="2"/>
      </rPr>
      <t>sf</t>
    </r>
  </si>
  <si>
    <t>Location</t>
  </si>
  <si>
    <t>Water temperature, Pot # 4</t>
  </si>
  <si>
    <r>
      <t>T4</t>
    </r>
    <r>
      <rPr>
        <vertAlign val="subscript"/>
        <sz val="9"/>
        <rFont val="Arial"/>
        <family val="2"/>
      </rPr>
      <t>ci</t>
    </r>
  </si>
  <si>
    <r>
      <t>T4</t>
    </r>
    <r>
      <rPr>
        <vertAlign val="subscript"/>
        <sz val="9"/>
        <rFont val="Arial"/>
        <family val="2"/>
      </rPr>
      <t>cf</t>
    </r>
  </si>
  <si>
    <r>
      <t>T4</t>
    </r>
    <r>
      <rPr>
        <vertAlign val="subscript"/>
        <sz val="9"/>
        <rFont val="Arial"/>
        <family val="2"/>
      </rPr>
      <t>hi</t>
    </r>
  </si>
  <si>
    <r>
      <t>T4</t>
    </r>
    <r>
      <rPr>
        <vertAlign val="subscript"/>
        <sz val="9"/>
        <rFont val="Arial"/>
        <family val="2"/>
      </rPr>
      <t>hf</t>
    </r>
  </si>
  <si>
    <r>
      <t>T4</t>
    </r>
    <r>
      <rPr>
        <vertAlign val="subscript"/>
        <sz val="9"/>
        <rFont val="Arial"/>
        <family val="2"/>
      </rPr>
      <t>si</t>
    </r>
  </si>
  <si>
    <r>
      <t>T4</t>
    </r>
    <r>
      <rPr>
        <vertAlign val="subscript"/>
        <sz val="9"/>
        <rFont val="Arial"/>
        <family val="2"/>
      </rPr>
      <t>sf</t>
    </r>
  </si>
  <si>
    <t>Type of fuel</t>
  </si>
  <si>
    <t>Weight of Pot # 1 with water</t>
  </si>
  <si>
    <r>
      <t>P1</t>
    </r>
    <r>
      <rPr>
        <vertAlign val="subscript"/>
        <sz val="9"/>
        <rFont val="Arial"/>
        <family val="2"/>
      </rPr>
      <t>ci</t>
    </r>
  </si>
  <si>
    <r>
      <t>P1</t>
    </r>
    <r>
      <rPr>
        <vertAlign val="subscript"/>
        <sz val="9"/>
        <rFont val="Arial"/>
        <family val="2"/>
      </rPr>
      <t>cf</t>
    </r>
  </si>
  <si>
    <r>
      <t>P1</t>
    </r>
    <r>
      <rPr>
        <vertAlign val="subscript"/>
        <sz val="9"/>
        <rFont val="Arial"/>
        <family val="2"/>
      </rPr>
      <t>hi</t>
    </r>
  </si>
  <si>
    <r>
      <t>P1</t>
    </r>
    <r>
      <rPr>
        <vertAlign val="subscript"/>
        <sz val="9"/>
        <rFont val="Arial"/>
        <family val="2"/>
      </rPr>
      <t>hf</t>
    </r>
  </si>
  <si>
    <r>
      <t>P1</t>
    </r>
    <r>
      <rPr>
        <vertAlign val="subscript"/>
        <sz val="9"/>
        <rFont val="Arial"/>
        <family val="2"/>
      </rPr>
      <t>si</t>
    </r>
  </si>
  <si>
    <r>
      <t>P1</t>
    </r>
    <r>
      <rPr>
        <vertAlign val="subscript"/>
        <sz val="9"/>
        <rFont val="Arial"/>
        <family val="2"/>
      </rPr>
      <t>sf</t>
    </r>
  </si>
  <si>
    <t>Weight of Pot # 2 with water</t>
  </si>
  <si>
    <r>
      <t>P2</t>
    </r>
    <r>
      <rPr>
        <vertAlign val="subscript"/>
        <sz val="9"/>
        <rFont val="Arial"/>
        <family val="2"/>
      </rPr>
      <t>ci</t>
    </r>
  </si>
  <si>
    <r>
      <t>P2</t>
    </r>
    <r>
      <rPr>
        <vertAlign val="subscript"/>
        <sz val="9"/>
        <rFont val="Arial"/>
        <family val="2"/>
      </rPr>
      <t>cf</t>
    </r>
  </si>
  <si>
    <r>
      <t>P2</t>
    </r>
    <r>
      <rPr>
        <vertAlign val="subscript"/>
        <sz val="9"/>
        <rFont val="Arial"/>
        <family val="2"/>
      </rPr>
      <t>hi</t>
    </r>
  </si>
  <si>
    <r>
      <t>P2</t>
    </r>
    <r>
      <rPr>
        <vertAlign val="subscript"/>
        <sz val="9"/>
        <rFont val="Arial"/>
        <family val="2"/>
      </rPr>
      <t>hf</t>
    </r>
  </si>
  <si>
    <r>
      <t>P2</t>
    </r>
    <r>
      <rPr>
        <vertAlign val="subscript"/>
        <sz val="9"/>
        <rFont val="Arial"/>
        <family val="2"/>
      </rPr>
      <t>si</t>
    </r>
  </si>
  <si>
    <r>
      <t>P2</t>
    </r>
    <r>
      <rPr>
        <vertAlign val="subscript"/>
        <sz val="9"/>
        <rFont val="Arial"/>
        <family val="2"/>
      </rPr>
      <t>sf</t>
    </r>
  </si>
  <si>
    <t>Weight of Pot # 3 with water</t>
  </si>
  <si>
    <r>
      <t>P3</t>
    </r>
    <r>
      <rPr>
        <vertAlign val="subscript"/>
        <sz val="9"/>
        <rFont val="Arial"/>
        <family val="2"/>
      </rPr>
      <t>ci</t>
    </r>
  </si>
  <si>
    <r>
      <t>P3</t>
    </r>
    <r>
      <rPr>
        <vertAlign val="subscript"/>
        <sz val="9"/>
        <rFont val="Arial"/>
        <family val="2"/>
      </rPr>
      <t>cf</t>
    </r>
  </si>
  <si>
    <r>
      <t>P3</t>
    </r>
    <r>
      <rPr>
        <vertAlign val="subscript"/>
        <sz val="9"/>
        <rFont val="Arial"/>
        <family val="2"/>
      </rPr>
      <t>hi</t>
    </r>
  </si>
  <si>
    <r>
      <t>P3</t>
    </r>
    <r>
      <rPr>
        <vertAlign val="subscript"/>
        <sz val="9"/>
        <rFont val="Arial"/>
        <family val="2"/>
      </rPr>
      <t>hf</t>
    </r>
  </si>
  <si>
    <r>
      <t>P3</t>
    </r>
    <r>
      <rPr>
        <vertAlign val="subscript"/>
        <sz val="9"/>
        <rFont val="Arial"/>
        <family val="2"/>
      </rPr>
      <t>si</t>
    </r>
  </si>
  <si>
    <r>
      <t>P3</t>
    </r>
    <r>
      <rPr>
        <vertAlign val="subscript"/>
        <sz val="9"/>
        <rFont val="Arial"/>
        <family val="2"/>
      </rPr>
      <t>sf</t>
    </r>
  </si>
  <si>
    <t>Initial Test Conditions</t>
  </si>
  <si>
    <t>Weight of Pot # 4 with water</t>
  </si>
  <si>
    <r>
      <t>P4</t>
    </r>
    <r>
      <rPr>
        <vertAlign val="subscript"/>
        <sz val="9"/>
        <rFont val="Arial"/>
        <family val="2"/>
      </rPr>
      <t>ci</t>
    </r>
  </si>
  <si>
    <r>
      <t>P4</t>
    </r>
    <r>
      <rPr>
        <vertAlign val="subscript"/>
        <sz val="9"/>
        <rFont val="Arial"/>
        <family val="2"/>
      </rPr>
      <t>cf</t>
    </r>
  </si>
  <si>
    <r>
      <t>P4</t>
    </r>
    <r>
      <rPr>
        <vertAlign val="subscript"/>
        <sz val="9"/>
        <rFont val="Arial"/>
        <family val="2"/>
      </rPr>
      <t>hi</t>
    </r>
  </si>
  <si>
    <r>
      <t>P4</t>
    </r>
    <r>
      <rPr>
        <vertAlign val="subscript"/>
        <sz val="9"/>
        <rFont val="Arial"/>
        <family val="2"/>
      </rPr>
      <t>hf</t>
    </r>
  </si>
  <si>
    <r>
      <t>P4</t>
    </r>
    <r>
      <rPr>
        <vertAlign val="subscript"/>
        <sz val="9"/>
        <rFont val="Arial"/>
        <family val="2"/>
      </rPr>
      <t>si</t>
    </r>
  </si>
  <si>
    <r>
      <t>P4</t>
    </r>
    <r>
      <rPr>
        <vertAlign val="subscript"/>
        <sz val="9"/>
        <rFont val="Arial"/>
        <family val="2"/>
      </rPr>
      <t>sf</t>
    </r>
  </si>
  <si>
    <t>Data</t>
  </si>
  <si>
    <t>value</t>
  </si>
  <si>
    <t>units</t>
  </si>
  <si>
    <t>Fire-starting materials (if any)</t>
  </si>
  <si>
    <t>--</t>
  </si>
  <si>
    <t>Dry weight of Pot # 1 (grams)</t>
  </si>
  <si>
    <t>P1</t>
  </si>
  <si>
    <t>Weight of charcoal+container</t>
  </si>
  <si>
    <r>
      <t>c</t>
    </r>
    <r>
      <rPr>
        <vertAlign val="subscript"/>
        <sz val="9"/>
        <rFont val="Arial"/>
        <family val="2"/>
      </rPr>
      <t>c</t>
    </r>
  </si>
  <si>
    <r>
      <t>c</t>
    </r>
    <r>
      <rPr>
        <vertAlign val="subscript"/>
        <sz val="9"/>
        <rFont val="Arial"/>
        <family val="2"/>
      </rPr>
      <t>h</t>
    </r>
  </si>
  <si>
    <r>
      <t>c</t>
    </r>
    <r>
      <rPr>
        <vertAlign val="subscript"/>
        <sz val="9"/>
        <rFont val="Arial"/>
        <family val="2"/>
      </rPr>
      <t>s</t>
    </r>
  </si>
  <si>
    <t>Dry weight of Pot # 2 (grams)</t>
  </si>
  <si>
    <t>P2</t>
  </si>
  <si>
    <t>Gross calorific value (dry fuel)</t>
  </si>
  <si>
    <t>kJ/kg</t>
  </si>
  <si>
    <t>HHV</t>
  </si>
  <si>
    <t>Dry weight of Pot # 3 (grams)</t>
  </si>
  <si>
    <t>P3</t>
  </si>
  <si>
    <t>Net calorific value (dry fuel)</t>
  </si>
  <si>
    <t>LHV</t>
  </si>
  <si>
    <t>Dry weight of Pot # 4 (grams)</t>
  </si>
  <si>
    <t>P4</t>
  </si>
  <si>
    <t xml:space="preserve">COLD START </t>
  </si>
  <si>
    <t>HOT START</t>
  </si>
  <si>
    <r>
      <t>SIMMER TEST</t>
    </r>
    <r>
      <rPr>
        <sz val="9"/>
        <rFont val="Arial"/>
        <family val="2"/>
      </rPr>
      <t xml:space="preserve"> (CALCULATIONS DIFFER FROM HIGH POWER TEST)</t>
    </r>
  </si>
  <si>
    <t>%</t>
  </si>
  <si>
    <t>m</t>
  </si>
  <si>
    <t>Weight of container for char (grams)</t>
  </si>
  <si>
    <t>k</t>
  </si>
  <si>
    <t>Calculations/Results</t>
  </si>
  <si>
    <r>
      <t>c</t>
    </r>
    <r>
      <rPr>
        <vertAlign val="subscript"/>
        <sz val="9"/>
        <rFont val="Arial"/>
        <family val="2"/>
      </rPr>
      <t>eff</t>
    </r>
  </si>
  <si>
    <t xml:space="preserve">Local boiling point </t>
  </si>
  <si>
    <r>
      <t>T</t>
    </r>
    <r>
      <rPr>
        <vertAlign val="subscript"/>
        <sz val="9"/>
        <rFont val="Arial"/>
        <family val="2"/>
      </rPr>
      <t>b</t>
    </r>
  </si>
  <si>
    <t>Wood consumed (moist)</t>
  </si>
  <si>
    <r>
      <t>f</t>
    </r>
    <r>
      <rPr>
        <vertAlign val="subscript"/>
        <sz val="9"/>
        <rFont val="Arial"/>
        <family val="2"/>
      </rPr>
      <t>cm</t>
    </r>
  </si>
  <si>
    <r>
      <t>f</t>
    </r>
    <r>
      <rPr>
        <vertAlign val="subscript"/>
        <sz val="9"/>
        <rFont val="Arial"/>
        <family val="2"/>
      </rPr>
      <t>hm</t>
    </r>
  </si>
  <si>
    <t>Wood consumed during the simmer phase (moist)</t>
  </si>
  <si>
    <r>
      <t>f</t>
    </r>
    <r>
      <rPr>
        <vertAlign val="subscript"/>
        <sz val="9"/>
        <rFont val="Arial"/>
        <family val="2"/>
      </rPr>
      <t>sm</t>
    </r>
  </si>
  <si>
    <t xml:space="preserve">Net change in char during test </t>
  </si>
  <si>
    <r>
      <t>Δc</t>
    </r>
    <r>
      <rPr>
        <vertAlign val="subscript"/>
        <sz val="9"/>
        <rFont val="Arial"/>
        <family val="2"/>
      </rPr>
      <t>c</t>
    </r>
  </si>
  <si>
    <r>
      <t>Δc</t>
    </r>
    <r>
      <rPr>
        <vertAlign val="subscript"/>
        <sz val="9"/>
        <rFont val="Arial"/>
        <family val="2"/>
      </rPr>
      <t>h</t>
    </r>
  </si>
  <si>
    <t>Net change in char during test phase</t>
  </si>
  <si>
    <r>
      <t>Δc</t>
    </r>
    <r>
      <rPr>
        <vertAlign val="subscript"/>
        <sz val="9"/>
        <rFont val="Arial"/>
        <family val="2"/>
      </rPr>
      <t>s</t>
    </r>
  </si>
  <si>
    <t>Equivalent dry wood consumed</t>
  </si>
  <si>
    <r>
      <t>f</t>
    </r>
    <r>
      <rPr>
        <vertAlign val="subscript"/>
        <sz val="9"/>
        <rFont val="Arial"/>
        <family val="2"/>
      </rPr>
      <t>cd</t>
    </r>
  </si>
  <si>
    <r>
      <t>f</t>
    </r>
    <r>
      <rPr>
        <vertAlign val="subscript"/>
        <sz val="9"/>
        <rFont val="Arial"/>
        <family val="2"/>
      </rPr>
      <t>hd</t>
    </r>
  </si>
  <si>
    <r>
      <t>f</t>
    </r>
    <r>
      <rPr>
        <vertAlign val="subscript"/>
        <sz val="9"/>
        <rFont val="Arial"/>
        <family val="2"/>
      </rPr>
      <t>sd</t>
    </r>
  </si>
  <si>
    <t>Water vaporized from all pots</t>
  </si>
  <si>
    <r>
      <t>w</t>
    </r>
    <r>
      <rPr>
        <vertAlign val="subscript"/>
        <sz val="9"/>
        <rFont val="Arial"/>
        <family val="2"/>
      </rPr>
      <t>cv</t>
    </r>
  </si>
  <si>
    <r>
      <t>w</t>
    </r>
    <r>
      <rPr>
        <vertAlign val="subscript"/>
        <sz val="9"/>
        <rFont val="Arial"/>
        <family val="2"/>
      </rPr>
      <t>hv</t>
    </r>
  </si>
  <si>
    <t>Water vaporized</t>
  </si>
  <si>
    <r>
      <t>w</t>
    </r>
    <r>
      <rPr>
        <vertAlign val="subscript"/>
        <sz val="9"/>
        <rFont val="Arial"/>
        <family val="2"/>
      </rPr>
      <t>sv</t>
    </r>
  </si>
  <si>
    <t>Effective mass of water boiled</t>
  </si>
  <si>
    <r>
      <t>w</t>
    </r>
    <r>
      <rPr>
        <vertAlign val="subscript"/>
        <sz val="9"/>
        <rFont val="Arial"/>
        <family val="2"/>
      </rPr>
      <t>cr</t>
    </r>
  </si>
  <si>
    <r>
      <t>w</t>
    </r>
    <r>
      <rPr>
        <vertAlign val="subscript"/>
        <sz val="9"/>
        <rFont val="Arial"/>
        <family val="2"/>
      </rPr>
      <t>hr</t>
    </r>
  </si>
  <si>
    <t>Water remaining at end - All Pots</t>
  </si>
  <si>
    <r>
      <t>w</t>
    </r>
    <r>
      <rPr>
        <vertAlign val="subscript"/>
        <sz val="9"/>
        <rFont val="Arial"/>
        <family val="2"/>
      </rPr>
      <t>sr</t>
    </r>
  </si>
  <si>
    <t>Time to boil Pot # 1</t>
  </si>
  <si>
    <t>min</t>
  </si>
  <si>
    <r>
      <t>Δt</t>
    </r>
    <r>
      <rPr>
        <vertAlign val="subscript"/>
        <sz val="9"/>
        <rFont val="Arial"/>
        <family val="2"/>
      </rPr>
      <t>c</t>
    </r>
  </si>
  <si>
    <r>
      <t>Δt</t>
    </r>
    <r>
      <rPr>
        <vertAlign val="subscript"/>
        <sz val="9"/>
        <rFont val="Arial"/>
        <family val="2"/>
      </rPr>
      <t>h</t>
    </r>
  </si>
  <si>
    <t>Time of simmer (should be ~45 minutes)</t>
  </si>
  <si>
    <r>
      <t>Δt</t>
    </r>
    <r>
      <rPr>
        <vertAlign val="subscript"/>
        <sz val="9"/>
        <rFont val="Arial"/>
        <family val="2"/>
      </rPr>
      <t>s</t>
    </r>
  </si>
  <si>
    <t>Temp-corr time to boil Pot # 1</t>
  </si>
  <si>
    <r>
      <t>Δt</t>
    </r>
    <r>
      <rPr>
        <vertAlign val="superscript"/>
        <sz val="9"/>
        <rFont val="Arial"/>
        <family val="2"/>
      </rPr>
      <t>T</t>
    </r>
    <r>
      <rPr>
        <vertAlign val="subscript"/>
        <sz val="9"/>
        <rFont val="Arial"/>
        <family val="2"/>
      </rPr>
      <t>c</t>
    </r>
  </si>
  <si>
    <r>
      <t>Δt</t>
    </r>
    <r>
      <rPr>
        <vertAlign val="superscript"/>
        <sz val="9"/>
        <rFont val="Arial"/>
        <family val="2"/>
      </rPr>
      <t>T</t>
    </r>
    <r>
      <rPr>
        <vertAlign val="subscript"/>
        <sz val="9"/>
        <rFont val="Arial"/>
        <family val="2"/>
      </rPr>
      <t>h</t>
    </r>
  </si>
  <si>
    <t>Thermal efficiency</t>
  </si>
  <si>
    <r>
      <t>h</t>
    </r>
    <r>
      <rPr>
        <vertAlign val="subscript"/>
        <sz val="9"/>
        <rFont val="Arial"/>
        <family val="2"/>
      </rPr>
      <t>s</t>
    </r>
  </si>
  <si>
    <r>
      <t>h</t>
    </r>
    <r>
      <rPr>
        <vertAlign val="subscript"/>
        <sz val="9"/>
        <rFont val="Arial"/>
        <family val="2"/>
      </rPr>
      <t>c</t>
    </r>
  </si>
  <si>
    <r>
      <t>h</t>
    </r>
    <r>
      <rPr>
        <vertAlign val="subscript"/>
        <sz val="9"/>
        <rFont val="Arial"/>
        <family val="2"/>
      </rPr>
      <t>h</t>
    </r>
  </si>
  <si>
    <t>Burning rate</t>
  </si>
  <si>
    <t>g/min</t>
  </si>
  <si>
    <r>
      <t>r</t>
    </r>
    <r>
      <rPr>
        <vertAlign val="subscript"/>
        <sz val="9"/>
        <rFont val="Arial"/>
        <family val="2"/>
      </rPr>
      <t>sb</t>
    </r>
  </si>
  <si>
    <r>
      <t>r</t>
    </r>
    <r>
      <rPr>
        <vertAlign val="subscript"/>
        <sz val="9"/>
        <rFont val="Arial"/>
        <family val="2"/>
      </rPr>
      <t>cb</t>
    </r>
  </si>
  <si>
    <r>
      <t>r</t>
    </r>
    <r>
      <rPr>
        <vertAlign val="subscript"/>
        <sz val="9"/>
        <rFont val="Arial"/>
        <family val="2"/>
      </rPr>
      <t>hb</t>
    </r>
  </si>
  <si>
    <t xml:space="preserve">Specific fuel consumption </t>
  </si>
  <si>
    <t>g/liter</t>
  </si>
  <si>
    <r>
      <t>SC</t>
    </r>
    <r>
      <rPr>
        <vertAlign val="subscript"/>
        <sz val="9"/>
        <rFont val="Arial"/>
        <family val="2"/>
      </rPr>
      <t>s</t>
    </r>
  </si>
  <si>
    <r>
      <t>SC</t>
    </r>
    <r>
      <rPr>
        <vertAlign val="subscript"/>
        <sz val="9"/>
        <rFont val="Arial"/>
        <family val="2"/>
      </rPr>
      <t>c</t>
    </r>
  </si>
  <si>
    <r>
      <t>SC</t>
    </r>
    <r>
      <rPr>
        <vertAlign val="subscript"/>
        <sz val="9"/>
        <rFont val="Arial"/>
        <family val="2"/>
      </rPr>
      <t>h</t>
    </r>
  </si>
  <si>
    <t>Firepower</t>
  </si>
  <si>
    <t>watts</t>
  </si>
  <si>
    <r>
      <t>FP</t>
    </r>
    <r>
      <rPr>
        <vertAlign val="subscript"/>
        <sz val="9"/>
        <rFont val="Arial"/>
        <family val="2"/>
      </rPr>
      <t>s</t>
    </r>
  </si>
  <si>
    <t xml:space="preserve">Temp-corr sp consumption </t>
  </si>
  <si>
    <r>
      <t>SC</t>
    </r>
    <r>
      <rPr>
        <vertAlign val="superscript"/>
        <sz val="9"/>
        <rFont val="Arial"/>
        <family val="2"/>
      </rPr>
      <t>T</t>
    </r>
    <r>
      <rPr>
        <vertAlign val="subscript"/>
        <sz val="9"/>
        <rFont val="Arial"/>
        <family val="2"/>
      </rPr>
      <t>c</t>
    </r>
  </si>
  <si>
    <r>
      <t>SC</t>
    </r>
    <r>
      <rPr>
        <vertAlign val="superscript"/>
        <sz val="9"/>
        <rFont val="Arial"/>
        <family val="2"/>
      </rPr>
      <t>T</t>
    </r>
    <r>
      <rPr>
        <vertAlign val="subscript"/>
        <sz val="9"/>
        <rFont val="Arial"/>
        <family val="2"/>
      </rPr>
      <t>h</t>
    </r>
  </si>
  <si>
    <t>Turn down ratio</t>
  </si>
  <si>
    <t>TDR</t>
  </si>
  <si>
    <t>Temp-corr sp energy consumpt.</t>
  </si>
  <si>
    <t>kJ/liter</t>
  </si>
  <si>
    <r>
      <t>SE</t>
    </r>
    <r>
      <rPr>
        <vertAlign val="superscript"/>
        <sz val="9"/>
        <rFont val="Arial"/>
        <family val="2"/>
      </rPr>
      <t>T</t>
    </r>
    <r>
      <rPr>
        <vertAlign val="subscript"/>
        <sz val="9"/>
        <rFont val="Arial"/>
        <family val="2"/>
      </rPr>
      <t>C</t>
    </r>
  </si>
  <si>
    <r>
      <t>SE</t>
    </r>
    <r>
      <rPr>
        <vertAlign val="superscript"/>
        <sz val="9"/>
        <rFont val="Arial"/>
        <family val="2"/>
      </rPr>
      <t>T</t>
    </r>
    <r>
      <rPr>
        <vertAlign val="subscript"/>
        <sz val="9"/>
        <rFont val="Arial"/>
        <family val="2"/>
      </rPr>
      <t>H</t>
    </r>
  </si>
  <si>
    <t>Specific Energy Consumption</t>
  </si>
  <si>
    <r>
      <t>SE</t>
    </r>
    <r>
      <rPr>
        <vertAlign val="subscript"/>
        <sz val="9"/>
        <rFont val="Arial"/>
        <family val="2"/>
      </rPr>
      <t>S</t>
    </r>
  </si>
  <si>
    <r>
      <t>FP</t>
    </r>
    <r>
      <rPr>
        <vertAlign val="subscript"/>
        <sz val="9"/>
        <rFont val="Arial"/>
        <family val="2"/>
      </rPr>
      <t>c</t>
    </r>
  </si>
  <si>
    <r>
      <t>FP</t>
    </r>
    <r>
      <rPr>
        <vertAlign val="subscript"/>
        <sz val="9"/>
        <rFont val="Arial"/>
        <family val="2"/>
      </rPr>
      <t>h</t>
    </r>
  </si>
  <si>
    <t>Fuel Benchmark to Complete 5L WBT</t>
  </si>
  <si>
    <t>BF</t>
  </si>
  <si>
    <t>Energy Benchmark to Complete 5L WBT</t>
  </si>
  <si>
    <t>kJ</t>
  </si>
  <si>
    <t>BE</t>
  </si>
  <si>
    <t>BASIC TEST DATA</t>
  </si>
  <si>
    <r>
      <t>T2</t>
    </r>
    <r>
      <rPr>
        <vertAlign val="subscript"/>
        <sz val="9"/>
        <rFont val="Arial"/>
        <family val="2"/>
      </rPr>
      <t>ci</t>
    </r>
  </si>
  <si>
    <r>
      <t>T3</t>
    </r>
    <r>
      <rPr>
        <vertAlign val="subscript"/>
        <sz val="9"/>
        <rFont val="Arial"/>
        <family val="2"/>
      </rPr>
      <t>ci</t>
    </r>
  </si>
  <si>
    <t>1. HIGH POWER TEST (COLD START)</t>
  </si>
  <si>
    <t>Test 1</t>
  </si>
  <si>
    <t>Test 2</t>
  </si>
  <si>
    <t>Test 3</t>
  </si>
  <si>
    <t>Average</t>
  </si>
  <si>
    <t>St Dev</t>
  </si>
  <si>
    <t>COV</t>
  </si>
  <si>
    <t>Temp-corrected time to boil Pot # 1</t>
  </si>
  <si>
    <t xml:space="preserve">Temp-corrected specific consumption </t>
  </si>
  <si>
    <t>Temp-corrected specific energy cons.</t>
  </si>
  <si>
    <t>2. HIGH POWER TEST (HOT START)</t>
  </si>
  <si>
    <t>3. LOW POWER (SIMMER)</t>
  </si>
  <si>
    <t>BENCHMARK VALUES (for 5L)</t>
  </si>
  <si>
    <t>Fuel Use Benchmark Value</t>
  </si>
  <si>
    <t>Energy Use Benchmark Value</t>
  </si>
  <si>
    <t>Test-1</t>
  </si>
  <si>
    <t xml:space="preserve">Instrument reading </t>
  </si>
  <si>
    <t>Test-2</t>
  </si>
  <si>
    <t xml:space="preserve"> (% dry basis)</t>
  </si>
  <si>
    <t>Piece 1</t>
  </si>
  <si>
    <t>Piece 2</t>
  </si>
  <si>
    <t>Piece 3</t>
  </si>
  <si>
    <t>Average moisture content (%)</t>
  </si>
  <si>
    <t>dry-basis</t>
  </si>
  <si>
    <t>wet-basis</t>
  </si>
  <si>
    <t>Test-3</t>
  </si>
  <si>
    <t>Fuel moisture content worksheet</t>
  </si>
  <si>
    <t>wind conditions</t>
  </si>
  <si>
    <t>Tree species</t>
  </si>
  <si>
    <t>Common name(s)</t>
  </si>
  <si>
    <t>Calorific value (kcal/kg)</t>
  </si>
  <si>
    <t>From RWEDP Report 29</t>
  </si>
  <si>
    <t>Ann avg yield</t>
  </si>
  <si>
    <t>Avg rot'n length</t>
  </si>
  <si>
    <t>Possible</t>
  </si>
  <si>
    <t>Nitrogen</t>
  </si>
  <si>
    <t>Use</t>
  </si>
  <si>
    <t>Oven-dry</t>
  </si>
  <si>
    <r>
      <t>HHV</t>
    </r>
    <r>
      <rPr>
        <b/>
        <vertAlign val="superscript"/>
        <sz val="10"/>
        <rFont val="Arial"/>
        <family val="2"/>
      </rPr>
      <t>d</t>
    </r>
  </si>
  <si>
    <t>Data on N. American trees from Cheremisinoff (1980)</t>
  </si>
  <si>
    <t>Fuel</t>
  </si>
  <si>
    <t>Calorific value (MJ/kg)</t>
  </si>
  <si>
    <t xml:space="preserve">Source </t>
  </si>
  <si>
    <t>low</t>
  </si>
  <si>
    <t>high</t>
  </si>
  <si>
    <t>average</t>
  </si>
  <si>
    <t>Source</t>
  </si>
  <si>
    <t>Scientific Name</t>
  </si>
  <si>
    <t>(m3/ha-yr)</t>
  </si>
  <si>
    <t>(yrs)</t>
  </si>
  <si>
    <t>Regenerationa</t>
  </si>
  <si>
    <t>Fixingb</t>
  </si>
  <si>
    <r>
      <t>Priority</t>
    </r>
    <r>
      <rPr>
        <b/>
        <vertAlign val="superscript"/>
        <sz val="10"/>
        <rFont val="Arial"/>
        <family val="2"/>
      </rPr>
      <t>c</t>
    </r>
  </si>
  <si>
    <t>density (kg.m^3</t>
  </si>
  <si>
    <t xml:space="preserve">high </t>
  </si>
  <si>
    <t>MJ/kg (oven dry)</t>
  </si>
  <si>
    <t xml:space="preserve">btu/lb (oven dry) </t>
  </si>
  <si>
    <t xml:space="preserve">MJ/kg (oven dry) </t>
  </si>
  <si>
    <t>acacia auriculiformis</t>
  </si>
  <si>
    <t>Kerosene</t>
  </si>
  <si>
    <t>Zhang et al., 2000</t>
  </si>
  <si>
    <t>(Select from list)</t>
  </si>
  <si>
    <t>(select from list or use defalut value of 20,000 MJ/kg)</t>
  </si>
  <si>
    <t>Acacia auriculiformis</t>
  </si>
  <si>
    <t>10-20</t>
  </si>
  <si>
    <t>S, C</t>
  </si>
  <si>
    <t>Y</t>
  </si>
  <si>
    <t>F</t>
  </si>
  <si>
    <t>600-800</t>
  </si>
  <si>
    <t xml:space="preserve">bark </t>
  </si>
  <si>
    <t>wood</t>
  </si>
  <si>
    <t xml:space="preserve">acacia decurrens </t>
  </si>
  <si>
    <t>IEA, 2005</t>
  </si>
  <si>
    <t>No wind</t>
  </si>
  <si>
    <t>LPG</t>
  </si>
  <si>
    <t>Acacia decurrens</t>
  </si>
  <si>
    <t>-</t>
  </si>
  <si>
    <t>balsam fir</t>
  </si>
  <si>
    <t xml:space="preserve">acacia mearnsi </t>
  </si>
  <si>
    <t>Smith et al, 2001</t>
  </si>
  <si>
    <t>Light breeze</t>
  </si>
  <si>
    <t>Acacia farnesiana</t>
  </si>
  <si>
    <t>beech</t>
  </si>
  <si>
    <t>acacia nilotica</t>
  </si>
  <si>
    <t>Moderate wind</t>
  </si>
  <si>
    <t>Charcoal</t>
  </si>
  <si>
    <t>Strong wind</t>
  </si>
  <si>
    <t>Coal</t>
  </si>
  <si>
    <t>Very strong wind</t>
  </si>
  <si>
    <t>Crop residues</t>
  </si>
  <si>
    <t>US DoE</t>
  </si>
  <si>
    <t>Dung</t>
  </si>
  <si>
    <t xml:space="preserve">Natural gas </t>
  </si>
  <si>
    <t>Average Hardwood</t>
  </si>
  <si>
    <t>Average Softwood (Conifer)</t>
  </si>
  <si>
    <t>Average Softwood (conifer)</t>
  </si>
  <si>
    <t>Biogas</t>
  </si>
  <si>
    <t>Abies Balsamea (Balsam Fir)</t>
  </si>
  <si>
    <t>Abies Balsamea</t>
  </si>
  <si>
    <t>Acacia leucopholea</t>
  </si>
  <si>
    <t>black cottonwood</t>
  </si>
  <si>
    <t>acacia tortilis</t>
  </si>
  <si>
    <t>Acacia Auriculiformis (Ear-Leaf Acacia, Ear-Pod Wattle)</t>
  </si>
  <si>
    <t>Acacia Auriculiformis</t>
  </si>
  <si>
    <t>ear-leaf acacia, ear-pod wattle</t>
  </si>
  <si>
    <t>Acacia mearnsii</t>
  </si>
  <si>
    <t>10-25</t>
  </si>
  <si>
    <t>700-850</t>
  </si>
  <si>
    <t>black willow</t>
  </si>
  <si>
    <t>albizia falcataria</t>
  </si>
  <si>
    <t>Acacia Decurrens  (King Wattle, Green Wattle, Sydney Black Wattle)</t>
  </si>
  <si>
    <t xml:space="preserve">Acacia Decurrens </t>
  </si>
  <si>
    <t>king wattle, green wattle, Sydney black wattle</t>
  </si>
  <si>
    <t>Albizia falcataria</t>
  </si>
  <si>
    <t>30-40</t>
  </si>
  <si>
    <t>P, T, F</t>
  </si>
  <si>
    <t>douglas fir</t>
  </si>
  <si>
    <t>albizia lebbek</t>
  </si>
  <si>
    <t>Acacia Farnesiana (Sweet Acacia, Sweet Wattle)</t>
  </si>
  <si>
    <t>Acacia Farnesiana</t>
  </si>
  <si>
    <t>sweet acacia, sweet wattle</t>
  </si>
  <si>
    <t>Albizia lebbeck</t>
  </si>
  <si>
    <t>T, F</t>
  </si>
  <si>
    <t>550-600</t>
  </si>
  <si>
    <t>eastern hemlock</t>
  </si>
  <si>
    <t>alnus rubra</t>
  </si>
  <si>
    <t>@ 1.7 % MCwet</t>
  </si>
  <si>
    <t>Acacia Leucophloea (Kikar, Kuteeera Gum)</t>
  </si>
  <si>
    <t>Acacia Leucophloea</t>
  </si>
  <si>
    <t>kikar, kuteeera gum</t>
  </si>
  <si>
    <t>Albizia procera</t>
  </si>
  <si>
    <t>elm</t>
  </si>
  <si>
    <t>anogeissus latifolia</t>
  </si>
  <si>
    <t>@ ~5 % MCwet</t>
  </si>
  <si>
    <t>Pennise et al. 2002</t>
  </si>
  <si>
    <t>Acacia Mearnsi  (Black Wattle)</t>
  </si>
  <si>
    <t xml:space="preserve">Acacia Mearnsi </t>
  </si>
  <si>
    <t>black wattle</t>
  </si>
  <si>
    <t>Alnus nepalensis</t>
  </si>
  <si>
    <t>15-20</t>
  </si>
  <si>
    <t>F, P</t>
  </si>
  <si>
    <t>320-370</t>
  </si>
  <si>
    <t>ponderosa pine</t>
  </si>
  <si>
    <t>balanites aegyptiaca</t>
  </si>
  <si>
    <t>Acacia Nilotica (Egyptian Thorn, Babul (India), Babar (Pakistan))</t>
  </si>
  <si>
    <t>Acacia Nilotica</t>
  </si>
  <si>
    <t>egyptian thorn, babul (India), babar (Pakistan)</t>
  </si>
  <si>
    <t>Alstonia macrophylla</t>
  </si>
  <si>
    <t>S</t>
  </si>
  <si>
    <t>N</t>
  </si>
  <si>
    <t>P, T</t>
  </si>
  <si>
    <t>hickory</t>
  </si>
  <si>
    <t>calliandra calothyrsus</t>
  </si>
  <si>
    <t>Acacia Tortilis (Umbrella Thorn)</t>
  </si>
  <si>
    <t>Acacia Tortilis</t>
  </si>
  <si>
    <t>umbrella thorn</t>
  </si>
  <si>
    <t>Anthocephalus cadamba</t>
  </si>
  <si>
    <t>red alder</t>
  </si>
  <si>
    <t>casuarina equistofolia</t>
  </si>
  <si>
    <t>Acer Rubrum (Red Maple)</t>
  </si>
  <si>
    <t>Acer Rubrum</t>
  </si>
  <si>
    <t>red maple</t>
  </si>
  <si>
    <t>dry</t>
  </si>
  <si>
    <t>Antidesma ghaessimbilla</t>
  </si>
  <si>
    <t>dalbergia sissoo</t>
  </si>
  <si>
    <t>Albizia Falcataria (Batai, Malucca Albizia, ,Placata)</t>
  </si>
  <si>
    <t>Albizia Falcataria</t>
  </si>
  <si>
    <t>batai, malucca albizia, ,placata</t>
  </si>
  <si>
    <t>Avicennia officinalis</t>
  </si>
  <si>
    <t>630-700</t>
  </si>
  <si>
    <t>red oak</t>
  </si>
  <si>
    <t>derris indica</t>
  </si>
  <si>
    <t xml:space="preserve">Albizia Lebbek (Lebbek, East Indian Walnut Tree) </t>
  </si>
  <si>
    <t>Albizia Lebbek</t>
  </si>
  <si>
    <t xml:space="preserve">lebbek, East Indian walnut tree; </t>
  </si>
  <si>
    <t>Bruguiera gymnorrhiza</t>
  </si>
  <si>
    <t>5-10</t>
  </si>
  <si>
    <t>700-1,000</t>
  </si>
  <si>
    <t>southern pine</t>
  </si>
  <si>
    <t>emblica ofiicinalis</t>
  </si>
  <si>
    <t>Maize stalks</t>
  </si>
  <si>
    <t>@ 9.1 % MCwet</t>
  </si>
  <si>
    <t>Albizia Procera (Albicia, Silver Bark Rain Tree)</t>
  </si>
  <si>
    <t>Albizia Procera</t>
  </si>
  <si>
    <t>albicia, silver bark rain tree</t>
  </si>
  <si>
    <t>Bruguiera parviflora</t>
  </si>
  <si>
    <t>6-10</t>
  </si>
  <si>
    <t>sycamore</t>
  </si>
  <si>
    <t>eucalyptus camaldulensis</t>
  </si>
  <si>
    <t>@ 5.0 % MCwet</t>
  </si>
  <si>
    <t>RWEDP, 1993</t>
  </si>
  <si>
    <t>Alnus Nepalensis (Nepal Alder)</t>
  </si>
  <si>
    <t>Alnus Nepalensis</t>
  </si>
  <si>
    <t>Nepal alder</t>
  </si>
  <si>
    <t>Bruguiera sexangula</t>
  </si>
  <si>
    <t>western hemlock</t>
  </si>
  <si>
    <t>eucalyptus globulus</t>
  </si>
  <si>
    <t>Wheat stalks</t>
  </si>
  <si>
    <t xml:space="preserve"> @ 7.3 % MCwet</t>
  </si>
  <si>
    <t>Alnus Rubra (Red Alder)</t>
  </si>
  <si>
    <t>Alnus Rubra</t>
  </si>
  <si>
    <t>Calliandra calothyrsus</t>
  </si>
  <si>
    <r>
      <t>10-20</t>
    </r>
    <r>
      <rPr>
        <vertAlign val="superscript"/>
        <sz val="10"/>
        <rFont val="Arial"/>
        <family val="2"/>
      </rPr>
      <t>e</t>
    </r>
  </si>
  <si>
    <t>F, T</t>
  </si>
  <si>
    <t>510-780</t>
  </si>
  <si>
    <t>western red cedar</t>
  </si>
  <si>
    <t>gliricidia sepium</t>
  </si>
  <si>
    <t>Cassia fistula</t>
  </si>
  <si>
    <t xml:space="preserve">white oak </t>
  </si>
  <si>
    <t>gmelina arborea</t>
  </si>
  <si>
    <t>Rice stalks</t>
  </si>
  <si>
    <t>@ 8.8 % MCwet</t>
  </si>
  <si>
    <t>Alstonia Macrophylla (Devil Tree)</t>
  </si>
  <si>
    <t>Alstonia Macrophylla</t>
  </si>
  <si>
    <t xml:space="preserve">devil tree, </t>
  </si>
  <si>
    <t>Cassia siamea</t>
  </si>
  <si>
    <t>10-15</t>
  </si>
  <si>
    <t>leucaena leucocephala</t>
  </si>
  <si>
    <t>Anogeissus Latifolia (Axle-Wood Tree, Dhausa (Hindi))</t>
  </si>
  <si>
    <t>Anogeissus Latifolia</t>
  </si>
  <si>
    <t xml:space="preserve">axle-wood tree, dhausa (Hindi) </t>
  </si>
  <si>
    <t>Cassuarina equisetifolia</t>
  </si>
  <si>
    <t>5-15</t>
  </si>
  <si>
    <t>800-1,200</t>
  </si>
  <si>
    <t>melia azedarach</t>
  </si>
  <si>
    <t>@ 7.3 % MCwet</t>
  </si>
  <si>
    <t>Anthocephalus Cadamba (Labula (Indonesia))</t>
  </si>
  <si>
    <t>Anthocephalus Cadamba</t>
  </si>
  <si>
    <t>Labula (Indonesia)</t>
  </si>
  <si>
    <t>Ceriops tangal</t>
  </si>
  <si>
    <t>pithecellobium dulce</t>
  </si>
  <si>
    <t>Antidesma Ghaessimbilla</t>
  </si>
  <si>
    <t>Cocus nucifera</t>
  </si>
  <si>
    <t>populus euphratica</t>
  </si>
  <si>
    <t>Avicennia Officinalis (Mangrove, Api-Api Sudu (Philippines))</t>
  </si>
  <si>
    <t>Avicennia Officinalis</t>
  </si>
  <si>
    <t>mangrove, api-api sudu (Philippines)</t>
  </si>
  <si>
    <t>Cordia dichotoma</t>
  </si>
  <si>
    <t>T</t>
  </si>
  <si>
    <t>prosopis cineraria</t>
  </si>
  <si>
    <t>China</t>
  </si>
  <si>
    <t>Balanites Aegyptiaca (Desert Date, Thorn Tree, Soapberry Tree)</t>
  </si>
  <si>
    <t>Balanites Aegyptiaca</t>
  </si>
  <si>
    <t>desert date, thorn tree, soapberry tree</t>
  </si>
  <si>
    <t>Dalbergia latifolia</t>
  </si>
  <si>
    <t xml:space="preserve">psidium guajava </t>
  </si>
  <si>
    <t>@ 2.1 % MCwet</t>
  </si>
  <si>
    <t>Bruguiera Gymnorrhiza (Black Mangrove, Large-Leafed Mangrove)</t>
  </si>
  <si>
    <t>Bruguiera Gymnorrhiza</t>
  </si>
  <si>
    <t>black mangrove, large-leafed mangrove</t>
  </si>
  <si>
    <t>Dalbergis sissoo</t>
  </si>
  <si>
    <t>rhizophera spp</t>
  </si>
  <si>
    <t>China (washed)</t>
  </si>
  <si>
    <t>@ 4.7 % MCwet</t>
  </si>
  <si>
    <t>Bruguiera Parviflora (Thua Shale, Slender-Fruited Orange Mangrove)</t>
  </si>
  <si>
    <t>Bruguiera Parviflora</t>
  </si>
  <si>
    <t>thua shale, slender-fruited orange mangrove</t>
  </si>
  <si>
    <t>Derris indica</t>
  </si>
  <si>
    <t>sapium sebiferum</t>
  </si>
  <si>
    <t>US</t>
  </si>
  <si>
    <t>Bruguiera Sexangula (Orange Mangrove)</t>
  </si>
  <si>
    <t>Bruguiera Sexangula</t>
  </si>
  <si>
    <t>orange mangrove</t>
  </si>
  <si>
    <t>Diospyros philippinensis</t>
  </si>
  <si>
    <t>syzygium cumini</t>
  </si>
  <si>
    <t>India</t>
  </si>
  <si>
    <t>Calliandra Calothyrsus (Calliandra)</t>
  </si>
  <si>
    <t>Calliandra Calothyrsus</t>
  </si>
  <si>
    <t>calliandra</t>
  </si>
  <si>
    <t>Diospyros philosanthera</t>
  </si>
  <si>
    <t>trema spp</t>
  </si>
  <si>
    <t>South Africa</t>
  </si>
  <si>
    <t>Carya Spp (Hickory)</t>
  </si>
  <si>
    <t>Carya Spp</t>
  </si>
  <si>
    <t>Eucalyptus camaldulensis</t>
  </si>
  <si>
    <t>17-35f</t>
  </si>
  <si>
    <t>7-10f</t>
  </si>
  <si>
    <t>zizyphus mauritania</t>
  </si>
  <si>
    <t>Cassia Fistula (Cassia Stick Tree, Guayaba Cimarrona, Canafistula, Golden Shower, Indian Laburnum, Baton ‎Casse, Chacara, Nanban-Saikati, Kachang Kayu (Woody Bean), Kallober, Keyok, Klober)</t>
  </si>
  <si>
    <t>Cassia Fistula</t>
  </si>
  <si>
    <t>cassia stick tree, guayaba cimarrona, canafistula, golden shower, Indian laburnum, baton ‎casse, chacara, nanban-saikati, kachang kayu (woody bean), kallober, keyok, klober</t>
  </si>
  <si>
    <t>Eucalyptus deglupta</t>
  </si>
  <si>
    <t>abies balsamea</t>
  </si>
  <si>
    <t>Cassia Siamea (Siamese Cassia)</t>
  </si>
  <si>
    <t>Cassia Siamea</t>
  </si>
  <si>
    <t>siamese cassia</t>
  </si>
  <si>
    <t>Eucalyptus globulus</t>
  </si>
  <si>
    <t>10-30</t>
  </si>
  <si>
    <t>800-1,000</t>
  </si>
  <si>
    <t>acer rubrum</t>
  </si>
  <si>
    <t>Casuarina Equistofolia (Casuarina, She-Oak, Whistling Pine)</t>
  </si>
  <si>
    <t>Casuarina Equistofolia</t>
  </si>
  <si>
    <t>casuarina, she-oak, whistling pine</t>
  </si>
  <si>
    <t>Eucalyptus grandis</t>
  </si>
  <si>
    <t>17-60</t>
  </si>
  <si>
    <t>400-550</t>
  </si>
  <si>
    <t>Ceriops Tagal (Tagal Mangrove, Kandal)</t>
  </si>
  <si>
    <t>Ceriops Tagal</t>
  </si>
  <si>
    <t>tagal mangrove, kandal</t>
  </si>
  <si>
    <t>Gliricidia Sepium</t>
  </si>
  <si>
    <t>8-20</t>
  </si>
  <si>
    <t>P, F</t>
  </si>
  <si>
    <t>carya spp</t>
  </si>
  <si>
    <t>Cocus Nucifera (Coconut Palm)</t>
  </si>
  <si>
    <t>Cocus Nucifera</t>
  </si>
  <si>
    <t>coconut palm</t>
  </si>
  <si>
    <t>Gigantochloa apus</t>
  </si>
  <si>
    <t>fagus spp</t>
  </si>
  <si>
    <t>Cordia Dichotoma (Anunang (Philippines), Bird Lime Tree)</t>
  </si>
  <si>
    <t>Cordia Dichotoma</t>
  </si>
  <si>
    <t>anunang (Philippines), bird lime tree</t>
  </si>
  <si>
    <t>Lagerstroemia speciosa</t>
  </si>
  <si>
    <t>pinus elliotii</t>
  </si>
  <si>
    <t>Dalbergia Latifolia (East Indian Rosewood, Malabar Rosewood, Sitsal, Beete, Shisham)</t>
  </si>
  <si>
    <t>Dalbergia Latifolia</t>
  </si>
  <si>
    <t>East Indian rosewood, Malabar rosewood, sitsal, beete, shisham</t>
  </si>
  <si>
    <t>Leucaena leucocephala</t>
  </si>
  <si>
    <r>
      <t>30-40</t>
    </r>
    <r>
      <rPr>
        <vertAlign val="superscript"/>
        <sz val="10"/>
        <rFont val="Arial"/>
        <family val="2"/>
      </rPr>
      <t>h</t>
    </r>
  </si>
  <si>
    <t>5-10h</t>
  </si>
  <si>
    <t>530-580</t>
  </si>
  <si>
    <t>pinus ponderosa</t>
  </si>
  <si>
    <t>Dalbergia Sissoo (Sissoo, Shisham, Karra, Shewa)</t>
  </si>
  <si>
    <t>Dalbergia Sissoo</t>
  </si>
  <si>
    <t>sissoo, shisham, karra, shewa</t>
  </si>
  <si>
    <t>Prosopis pallida</t>
  </si>
  <si>
    <t>platanus occidentalis</t>
  </si>
  <si>
    <t>Derris Indica (India: Pongam, Ponga, Kona, Kanji, Karanja, Karanda; English: Indian Beech)</t>
  </si>
  <si>
    <t>Derris Indica</t>
  </si>
  <si>
    <t>India: pongam, ponga, kona, kanji, karanja, karanda; English: Indian beech</t>
  </si>
  <si>
    <t>Rhizophora apiculata</t>
  </si>
  <si>
    <t>populus trichocarpa</t>
  </si>
  <si>
    <t>Diospyros Philippinensis (Kamagong (Philippines))</t>
  </si>
  <si>
    <t>Diospyros Philippinensis</t>
  </si>
  <si>
    <t>kamagong (Philippines)</t>
  </si>
  <si>
    <t>Rhizophora mucronata</t>
  </si>
  <si>
    <t>pseudotsuga menziesii</t>
  </si>
  <si>
    <t>Diospyros Philosanthera (Bolong-Eta (Philippines))</t>
  </si>
  <si>
    <t>Diospyros Philosanthera</t>
  </si>
  <si>
    <t>bolong-eta (Philippines)</t>
  </si>
  <si>
    <t>Schima noronhae</t>
  </si>
  <si>
    <t>5-12</t>
  </si>
  <si>
    <t>quercus bicolor</t>
  </si>
  <si>
    <t>Emblica Ofiicinalis (Madre De Cacao, Kakauati (Philippines), Mexican Lilac, Madera Negra)</t>
  </si>
  <si>
    <t>Emblica Ofiicinalis</t>
  </si>
  <si>
    <t>Madre de cacao, kakauati (Philippines), Mexican lilac, madera negra</t>
  </si>
  <si>
    <t>air dry</t>
  </si>
  <si>
    <t>Schleichera oleosa</t>
  </si>
  <si>
    <t xml:space="preserve">quercus rubra </t>
  </si>
  <si>
    <t>Eucalyptus Camaldulensis (Red River Gum, Red Gum)</t>
  </si>
  <si>
    <t>Eucalyptus Camaldulensis</t>
  </si>
  <si>
    <t>red river gum, red gum</t>
  </si>
  <si>
    <t>Sesbania grandiflora</t>
  </si>
  <si>
    <r>
      <t>15-25</t>
    </r>
    <r>
      <rPr>
        <vertAlign val="superscript"/>
        <sz val="10"/>
        <rFont val="Arial"/>
        <family val="2"/>
      </rPr>
      <t>i</t>
    </r>
  </si>
  <si>
    <t>3-7i</t>
  </si>
  <si>
    <t>thuja plicata</t>
  </si>
  <si>
    <t>Eucalyptus Deglupta (Rainbow Gum Tree)</t>
  </si>
  <si>
    <t>Eucalyptus Deglupta</t>
  </si>
  <si>
    <t>rainbow gum tree</t>
  </si>
  <si>
    <t>Swietenia Macrophylla</t>
  </si>
  <si>
    <t>tsuga canadensis</t>
  </si>
  <si>
    <t>Eucalyptus Globulus (Southern Blue Gum, Fever Tree)</t>
  </si>
  <si>
    <t>Eucalyptus Globulus</t>
  </si>
  <si>
    <t>southern blue gum, fever tree</t>
  </si>
  <si>
    <t>Syzygium cumini</t>
  </si>
  <si>
    <t>tsuga heterophylla</t>
  </si>
  <si>
    <t>Eucalyptus Grandis (Rose Gum, Grand Eucalyptus)</t>
  </si>
  <si>
    <t>Eucalyptus Grandis</t>
  </si>
  <si>
    <t>rose gum, grand eucalyptus</t>
  </si>
  <si>
    <t>Xylocarpus granatum</t>
  </si>
  <si>
    <t>ulmus spp</t>
  </si>
  <si>
    <t>Fagus Spp (Beech)</t>
  </si>
  <si>
    <t>Fagus Spp</t>
  </si>
  <si>
    <t>Xylocarpus moluccensis</t>
  </si>
  <si>
    <t>Gigantochloa Apus (Pring Tali, Tabasheer Bamboo)</t>
  </si>
  <si>
    <t>Gigantochloa Apus</t>
  </si>
  <si>
    <t>pring tali, tabasheer bamboo</t>
  </si>
  <si>
    <t>Zizyphus talanai</t>
  </si>
  <si>
    <t>cacahuananche, madre de cacao</t>
  </si>
  <si>
    <t>Gmelina Arborea (Gmelina, Gumhar (India))</t>
  </si>
  <si>
    <t>Gmelina Arborea</t>
  </si>
  <si>
    <t>gmelina, gumhar (India)</t>
  </si>
  <si>
    <t>Sources: Adapted from the University of Philippines (1981) and NAS (1980).</t>
  </si>
  <si>
    <t>Lagerstroemia Speciosa (Queen's Crape Myrtle, Giant Crape Myrtle)</t>
  </si>
  <si>
    <t>Lagerstroemia Speciosa</t>
  </si>
  <si>
    <t>queen's crape myrtle, giant crape myrtle</t>
  </si>
  <si>
    <t>Notes:</t>
  </si>
  <si>
    <t>Leucaena Leucocephala (Leucaena, Ipil-Ipil (Philippines), Uaxin (Latin America), Lamtora (Indonesia), Lead Tree)</t>
  </si>
  <si>
    <t>Leucaena Leucocephala</t>
  </si>
  <si>
    <t>leucaena, ipil-ipil (Philippines), uaxin (Latin America), lamtora (Indonesia), lead tree</t>
  </si>
  <si>
    <t>Characteristics are presented for more than 60 trees or palms that have been or may be used as energy</t>
  </si>
  <si>
    <t>Melia Azedarach (China Berry, Persian Lilac, Bead Tree, Cape Lilac)</t>
  </si>
  <si>
    <t>Melia Azedarach</t>
  </si>
  <si>
    <t>China berry, Persian lilac, bead tree, cape lilac</t>
  </si>
  <si>
    <t>sources. However, many species also have alternative or better uses, such as timber. The values in the table</t>
  </si>
  <si>
    <t>Pinus Elliotii (Southern Pine)</t>
  </si>
  <si>
    <t>Pinus Elliotii</t>
  </si>
  <si>
    <t>above are not always comparable; since data come from a variety of studies, uniformity of measurements and</t>
  </si>
  <si>
    <t>Pinus Ponderosa (Ponderosa Pine)</t>
  </si>
  <si>
    <t>Pinus Ponderosa</t>
  </si>
  <si>
    <t>consistency of definitions cannot be assured. Some data are based on small species trials, making these date</t>
  </si>
  <si>
    <t>Pithecellobium Dulce (Quamachil, Guamuchil (Mexico), Manila Tamarind)</t>
  </si>
  <si>
    <t>Pithecellobium Dulce</t>
  </si>
  <si>
    <t>quamachil, guamuchil (Mexico), Manila tamarind</t>
  </si>
  <si>
    <t>only instructive, not definitive. Great care needs to be taken, especially with air-dry density and calorific value</t>
  </si>
  <si>
    <t>Platanus Occidentalis (Sycamore)</t>
  </si>
  <si>
    <t>Platanus Occidentalis</t>
  </si>
  <si>
    <t>estimates. Unfortunately, the moisture content for the air-dry weight was usually not given in most research.</t>
  </si>
  <si>
    <t>Populus Euphratica (Euphrates Poplar, Saf-Saf, Indian Poplar)</t>
  </si>
  <si>
    <t>Populus Euphratica</t>
  </si>
  <si>
    <t>Euphrates poplar, saf-saf, Indian poplar</t>
  </si>
  <si>
    <t>Calorific values generally are assumed to be high heat values-oven-dry energy contents. Rounding errors and</t>
  </si>
  <si>
    <t>Populus Trichocarpa (Black Cottonwood)</t>
  </si>
  <si>
    <t>Populus Trichocarpa</t>
  </si>
  <si>
    <t>varying measurement conditions, however, make the data on HHV suggestive at best. These problems may not</t>
  </si>
  <si>
    <t>Prosopis Cineraria (Jand, Khejri (India))</t>
  </si>
  <si>
    <t>Prosopis Cineraria</t>
  </si>
  <si>
    <t>jand, khejri (India)</t>
  </si>
  <si>
    <t>be too critical to rough estimates since energy contents do not vary widely among most species. An average</t>
  </si>
  <si>
    <t>Prosopis Pallida (Kiawe)</t>
  </si>
  <si>
    <t>Prosopis Pallida</t>
  </si>
  <si>
    <t xml:space="preserve">kiawe </t>
  </si>
  <si>
    <t>wood value often used is 15 MJ/kg at 15 percent mcwb, or 13 MJ/kg at 25 percent mcwb. The table does not</t>
  </si>
  <si>
    <t>Pseudotsuga Menziesii (Douglas Fir)</t>
  </si>
  <si>
    <t>Pseudotsuga Menziesii</t>
  </si>
  <si>
    <t>mean to suggest that every species be used as fuelwood; it merely gives particular characteristics.</t>
  </si>
  <si>
    <t>Psidium Guajava  (Guava, Guayaba)</t>
  </si>
  <si>
    <t xml:space="preserve">Psidium Guajava </t>
  </si>
  <si>
    <t>guava, guayaba</t>
  </si>
  <si>
    <t>a Regeneration code: C means tree can be coppiced; S means that regeneration is primarily from seeds or</t>
  </si>
  <si>
    <t>Quercus Bicolor (White Oak)</t>
  </si>
  <si>
    <t>Quercus Bicolor</t>
  </si>
  <si>
    <t>plantings.</t>
  </si>
  <si>
    <t>Quercus Rubra  (Red Oak)</t>
  </si>
  <si>
    <t xml:space="preserve">Quercus Rubra </t>
  </si>
  <si>
    <t>b Nitrogen-fixing code: Y means that the plant has the ability to fix nitrogen and thereby will enrich the soil; N</t>
  </si>
  <si>
    <r>
      <t xml:space="preserve">Rhizophera Spp (Mangrove Spp (Also </t>
    </r>
    <r>
      <rPr>
        <i/>
        <sz val="10"/>
        <rFont val="Arial"/>
        <family val="2"/>
      </rPr>
      <t>Avicennia Spp</t>
    </r>
    <r>
      <rPr>
        <sz val="10"/>
        <rFont val="Arial"/>
        <family val="2"/>
      </rPr>
      <t>))</t>
    </r>
  </si>
  <si>
    <t>Rhizophera Spp</t>
  </si>
  <si>
    <r>
      <t xml:space="preserve">mangrove spp (also </t>
    </r>
    <r>
      <rPr>
        <i/>
        <sz val="10"/>
        <rFont val="Arial"/>
        <family val="2"/>
      </rPr>
      <t>avicennia spp</t>
    </r>
    <r>
      <rPr>
        <sz val="10"/>
        <rFont val="Arial"/>
        <family val="2"/>
      </rPr>
      <t>)</t>
    </r>
  </si>
  <si>
    <t>means that the plant does not fix nitrogen.</t>
  </si>
  <si>
    <t>Sapium Sebiferum (Chinese Tallow Tree, Soap Tree, Tarchabi (Pahari) Shishum (India))</t>
  </si>
  <si>
    <t>Sapium Sebiferum</t>
  </si>
  <si>
    <t>Chinese tallow tree, soap tree, tarchabi (pahari) shishum (India)</t>
  </si>
  <si>
    <t>c Use priority provides a hierarchy of uses for the plant, with P indicating pulpwood, T timber, and F fuelwood.</t>
  </si>
  <si>
    <t>Schima Noronhae</t>
  </si>
  <si>
    <t>The typical ranking of use priority is indicated by the order of the symbols, although priority may change among</t>
  </si>
  <si>
    <t>Schleichera Oleosa (Kosambi (Indonesia), Lac Tree)</t>
  </si>
  <si>
    <t>Schleichera Oleosa</t>
  </si>
  <si>
    <t>kosambi (Indonesia), lac tree</t>
  </si>
  <si>
    <t>different users.</t>
  </si>
  <si>
    <t>Sesbania Grandiflora (Scarlet Wisteria Tree, Agati, Corkwood Tree, West Indian Pea)</t>
  </si>
  <si>
    <t>Sesbania Grandiflora</t>
  </si>
  <si>
    <t>scarlet wisteria tree, agati, corkwood tree, West Indian pea</t>
  </si>
  <si>
    <t>d HHVs may vary by 10-20 percent.</t>
  </si>
  <si>
    <t>Swietenia Macrophylla (Brazilian Mahogany, Caoba, Honduras Mahogany, Big Leaf Mahogany)</t>
  </si>
  <si>
    <t>Brazilian mahogany, caoba, Honduras mahogany, bigleaf mahogany</t>
  </si>
  <si>
    <t>e Average yields often increase to 30-65 m3/ha.yr after the first cutting at six months to a year.</t>
  </si>
  <si>
    <t>Syzygium Cumini (Jambolan, Java Plum)</t>
  </si>
  <si>
    <t>Syzygium Cumini</t>
  </si>
  <si>
    <t>jambolan, Java plum</t>
  </si>
  <si>
    <t>f Values are given for good sites; poor, dry sites average 2-11 m3/ha on a 10-14 year rotation.</t>
  </si>
  <si>
    <t>Thuja Plicata (Western Red Cedar)</t>
  </si>
  <si>
    <t>Thuja Plicata</t>
  </si>
  <si>
    <t>g Also known as Gliricidia maculata.</t>
  </si>
  <si>
    <t>Trema Spp</t>
  </si>
  <si>
    <t>h Well-managed plantations of giant L. leucocephala report 50-100 m3/ha.yr on a 3-5 year rotation.</t>
  </si>
  <si>
    <t>Tsuga Canadensis (Eastern Hemlock)</t>
  </si>
  <si>
    <t>Tsuga Canadensis</t>
  </si>
  <si>
    <t>i Data for well-managed plantations.</t>
  </si>
  <si>
    <t>Tsuga Heterophylla (Western Hemlock)</t>
  </si>
  <si>
    <t>Tsuga Heterophylla</t>
  </si>
  <si>
    <t>Ulmus Spp (Elm)</t>
  </si>
  <si>
    <t>Ulmus Spp</t>
  </si>
  <si>
    <t>Xylocarpus Granatum (Cannonball Mangrove, Cedar Mangrove)</t>
  </si>
  <si>
    <t>Xylocarpus Granatum</t>
  </si>
  <si>
    <t>cannonball mangrove, cedar mangrove</t>
  </si>
  <si>
    <t>Xylocarpus Moluccensis (Cedar Mangrove)</t>
  </si>
  <si>
    <t>Xylocarpus Moluccensis</t>
  </si>
  <si>
    <t>cedar mangrove</t>
  </si>
  <si>
    <t>Gfiricidia sepiumg</t>
  </si>
  <si>
    <t>Zizyphus Mauritania (Indian Jujube, Indian Plum)</t>
  </si>
  <si>
    <t>Zizyphus Mauritania</t>
  </si>
  <si>
    <t>Indian jujube, Indian plum</t>
  </si>
  <si>
    <t>Zizyphus Talanai</t>
  </si>
  <si>
    <t>Statistical Summary</t>
  </si>
  <si>
    <t>Minimum</t>
  </si>
  <si>
    <t>Sources</t>
  </si>
  <si>
    <t>Maximum</t>
  </si>
  <si>
    <t>standard Deviation</t>
  </si>
  <si>
    <t>Percentiles: 25th</t>
  </si>
  <si>
    <t>50th</t>
  </si>
  <si>
    <t>75th</t>
  </si>
  <si>
    <t>NAS (1980). Firewood Crops. Washington DC, National Academy of Sciences.</t>
  </si>
  <si>
    <t>Cheremisinoff, N. (1980). Properties of Wood. Wood for Energy Production. Ann Arbor, MI, Ann Arbor Science: 31-43.</t>
  </si>
  <si>
    <t>Harker, A. P., A. Sandels, et al. (1982). Calorific values for wood and bark and a bibliography for fuelwood. London, Tropical Products Institute: 20.</t>
  </si>
  <si>
    <t>FAO (1993). Energy and Environment Basics. Bangkok, Regional Wood Energy Development Program (RWEDP): 85.</t>
  </si>
  <si>
    <t>Cold Start</t>
  </si>
  <si>
    <t>Hot Start</t>
  </si>
  <si>
    <t>Simmer</t>
  </si>
  <si>
    <t>End</t>
  </si>
  <si>
    <t>Time</t>
  </si>
  <si>
    <t>Weight of Wood</t>
  </si>
  <si>
    <t>Water Temperature, Pot 1</t>
  </si>
  <si>
    <t>Water Temperature, Pot 2</t>
  </si>
  <si>
    <t>Water Temperature, Pot 3</t>
  </si>
  <si>
    <t>Water Temperature, Pot 4</t>
  </si>
  <si>
    <t>Weight of Pot 1 with water</t>
  </si>
  <si>
    <t>Weight of Pot 2 with water</t>
  </si>
  <si>
    <t>Weight of Pot 3 with water</t>
  </si>
  <si>
    <t>Weight of Pot 4 with water</t>
  </si>
  <si>
    <t>Fire Starting Materials</t>
  </si>
  <si>
    <t>Name of Tester(s)</t>
  </si>
  <si>
    <t>Manufactured by</t>
  </si>
  <si>
    <t>Stove Type/Model</t>
  </si>
  <si>
    <t>Test Location</t>
  </si>
  <si>
    <t>Test Number or Code</t>
  </si>
  <si>
    <t>Description and Notes</t>
  </si>
  <si>
    <t>Air temperature</t>
  </si>
  <si>
    <t xml:space="preserve">Local boiling point (C) </t>
  </si>
  <si>
    <t>Air relative humidity (%)</t>
  </si>
  <si>
    <t xml:space="preserve">Air temperature (C) </t>
  </si>
  <si>
    <t>Ambient conditions</t>
  </si>
  <si>
    <t>Test &amp; stove description</t>
  </si>
  <si>
    <t>Fuel description</t>
  </si>
  <si>
    <t>Your general description</t>
  </si>
  <si>
    <t>wood description</t>
  </si>
  <si>
    <t>Manufactured</t>
  </si>
  <si>
    <t>Cut to size</t>
  </si>
  <si>
    <t>Natural</t>
  </si>
  <si>
    <t>Liquid</t>
  </si>
  <si>
    <t>Briquettes</t>
  </si>
  <si>
    <t>Gel</t>
  </si>
  <si>
    <t>Fuel type</t>
  </si>
  <si>
    <t>Time (in 24 hour form)</t>
  </si>
  <si>
    <t>Check box if you have a measured calorific value</t>
  </si>
  <si>
    <t>Average length (cm)</t>
  </si>
  <si>
    <t>Cross-sectional dimensions (cm x cm)</t>
  </si>
  <si>
    <t>HHV,kJ/kg</t>
  </si>
  <si>
    <t>LHV,kJ/kg</t>
  </si>
  <si>
    <t>Wind conditions</t>
  </si>
  <si>
    <t>HHV, kJ/kg</t>
  </si>
  <si>
    <t>notes</t>
  </si>
  <si>
    <t>Measured gross calorific value</t>
  </si>
  <si>
    <t>Assumed net calorific value</t>
  </si>
  <si>
    <t>LHV, kJ/kg</t>
  </si>
  <si>
    <t>Gross calorific value</t>
  </si>
  <si>
    <t>Net calorific value</t>
  </si>
  <si>
    <t>HHV measured, kJ/kg</t>
  </si>
  <si>
    <t>If possible, enter a calorific value from measurements of local fuel below.</t>
  </si>
  <si>
    <t>Values to be used for tests</t>
  </si>
  <si>
    <t>Default values (looked up)</t>
  </si>
  <si>
    <t>Measured net calorific value</t>
  </si>
  <si>
    <t>Char, kJ/kg</t>
  </si>
  <si>
    <t>Char calorific value</t>
  </si>
  <si>
    <t>Water Boiling Test - General Information</t>
  </si>
  <si>
    <t>Notes about this test:</t>
  </si>
  <si>
    <t>How is fire started?</t>
  </si>
  <si>
    <t>Description of firestarter (e.g. paper, fluid) and small wood or kindling</t>
  </si>
  <si>
    <t>When do you add new fuel to the fire?</t>
  </si>
  <si>
    <t>How much fuel do you add at one time?</t>
  </si>
  <si>
    <t>Description of operation during the high-power test</t>
  </si>
  <si>
    <t>How often do you feed the fire without adding fuel (e.g. push sticks)?</t>
  </si>
  <si>
    <t>Description of operation during the simmering test</t>
  </si>
  <si>
    <t>Do you control the air above or below the fire? 
If so, what do you do?</t>
  </si>
  <si>
    <t>(note: Kindling should be weighed and reported with wood)</t>
  </si>
  <si>
    <t>Notes on the High Power - Cold Start Test. Add description only if it differs from "General Information" sheet</t>
  </si>
  <si>
    <t>DATA AND CALCULATION FORM (for one to four pots)*</t>
  </si>
  <si>
    <t xml:space="preserve">Shaded cells and arrows require user input; unshaded cells automatically display outputs </t>
  </si>
  <si>
    <t>If you are determining fuel moisture with the Delmhorst J-2000 or similar handheld moisture meter, take 3 pieces of fuel at random from the stock used for each test and measure each in three places along its length.  Enter the results in the gray spaces below.  The worksheet will automatically calculate average moisture content on a dry and wet basis.</t>
  </si>
  <si>
    <t>Ambient temperature</t>
  </si>
  <si>
    <t>TEST #</t>
  </si>
  <si>
    <t>All cells are linked to data worksheets, no entries are required</t>
  </si>
  <si>
    <t>Wood description</t>
  </si>
  <si>
    <t>These values are not linked to the Test sheets. This sheet is provided so you can print an easy data entry form. You will have to enter these values in each Test sheet to obtain the calculations.</t>
  </si>
  <si>
    <t>Method used to obtain wood moisture:</t>
  </si>
  <si>
    <t>version#</t>
  </si>
  <si>
    <t>Air Temperature</t>
  </si>
  <si>
    <t>Name of Testers</t>
  </si>
  <si>
    <t>Fuel Dimensions</t>
  </si>
  <si>
    <t>Fuel Type</t>
  </si>
  <si>
    <t>Notes</t>
  </si>
  <si>
    <t>Dry Weight Pot 1</t>
  </si>
  <si>
    <t>Dry Weight Pot 2</t>
  </si>
  <si>
    <t>Dry Weight Pot 3</t>
  </si>
  <si>
    <t>Dry Weight Pot 4</t>
  </si>
  <si>
    <t>Weight Container for Char</t>
  </si>
  <si>
    <t>Wind Conditions</t>
  </si>
  <si>
    <t>Moisture Content (wet basis)</t>
  </si>
  <si>
    <t>Local Boiling Point *</t>
  </si>
  <si>
    <t>* enter on General Information</t>
  </si>
  <si>
    <t>If you are using another means to determine fuel moisture, ignore this worksheet and enter the moisture in the proper space on each Test's data form.</t>
  </si>
  <si>
    <t>Fuel dimensions</t>
  </si>
  <si>
    <t>Water Boiling Test - Test Entry Form</t>
  </si>
  <si>
    <t>Ethanol</t>
  </si>
  <si>
    <t>Methanol</t>
  </si>
  <si>
    <t>Notes or description about stove or operation not included elsewhere on this form</t>
  </si>
  <si>
    <t>4.1.2</t>
  </si>
  <si>
    <t>Emission testing</t>
  </si>
  <si>
    <t>Pitot delta-P</t>
  </si>
  <si>
    <t>Hood flow rate (m3/hr)</t>
  </si>
  <si>
    <t>Background concentrations: CO2</t>
  </si>
  <si>
    <t>ppm</t>
  </si>
  <si>
    <t xml:space="preserve">   (accounting for fuel moisture)</t>
  </si>
  <si>
    <t xml:space="preserve">Effective calorific value </t>
  </si>
  <si>
    <t xml:space="preserve">     CO</t>
  </si>
  <si>
    <t xml:space="preserve">     PM</t>
  </si>
  <si>
    <t>CO2,b</t>
  </si>
  <si>
    <t>CO,b</t>
  </si>
  <si>
    <t>PM,b</t>
  </si>
  <si>
    <t>Average PM</t>
  </si>
  <si>
    <t>ug/m3</t>
  </si>
  <si>
    <t>Average CO2</t>
  </si>
  <si>
    <t>Average CO</t>
  </si>
  <si>
    <r>
      <t>CO2</t>
    </r>
    <r>
      <rPr>
        <vertAlign val="subscript"/>
        <sz val="9"/>
        <rFont val="Arial"/>
        <family val="2"/>
      </rPr>
      <t>c</t>
    </r>
  </si>
  <si>
    <r>
      <t>CO</t>
    </r>
    <r>
      <rPr>
        <vertAlign val="subscript"/>
        <sz val="9"/>
        <rFont val="Arial"/>
        <family val="2"/>
      </rPr>
      <t>c</t>
    </r>
  </si>
  <si>
    <r>
      <t>PM</t>
    </r>
    <r>
      <rPr>
        <vertAlign val="subscript"/>
        <sz val="9"/>
        <rFont val="Arial"/>
        <family val="2"/>
      </rPr>
      <t>c</t>
    </r>
  </si>
  <si>
    <r>
      <t>CO2</t>
    </r>
    <r>
      <rPr>
        <vertAlign val="subscript"/>
        <sz val="9"/>
        <rFont val="Arial"/>
        <family val="2"/>
      </rPr>
      <t>h</t>
    </r>
  </si>
  <si>
    <r>
      <t>CO</t>
    </r>
    <r>
      <rPr>
        <vertAlign val="subscript"/>
        <sz val="9"/>
        <rFont val="Arial"/>
        <family val="2"/>
      </rPr>
      <t>h</t>
    </r>
  </si>
  <si>
    <r>
      <t>PM</t>
    </r>
    <r>
      <rPr>
        <vertAlign val="subscript"/>
        <sz val="9"/>
        <rFont val="Arial"/>
        <family val="2"/>
      </rPr>
      <t>h</t>
    </r>
  </si>
  <si>
    <r>
      <t>CO2</t>
    </r>
    <r>
      <rPr>
        <vertAlign val="subscript"/>
        <sz val="9"/>
        <rFont val="Arial"/>
        <family val="2"/>
      </rPr>
      <t>s</t>
    </r>
  </si>
  <si>
    <r>
      <t>CO</t>
    </r>
    <r>
      <rPr>
        <vertAlign val="subscript"/>
        <sz val="9"/>
        <rFont val="Arial"/>
        <family val="2"/>
      </rPr>
      <t>s</t>
    </r>
  </si>
  <si>
    <r>
      <t>PM</t>
    </r>
    <r>
      <rPr>
        <vertAlign val="subscript"/>
        <sz val="9"/>
        <rFont val="Arial"/>
        <family val="2"/>
      </rPr>
      <t>s</t>
    </r>
  </si>
  <si>
    <t>Notes on the High Power - Hot Start Test</t>
  </si>
  <si>
    <t>Notes on the Low Power - Simmer Test</t>
  </si>
  <si>
    <t>Emission Report</t>
  </si>
  <si>
    <t>Total exhaust flow</t>
  </si>
  <si>
    <t>m3</t>
  </si>
  <si>
    <t>Total carbon in exhaust</t>
  </si>
  <si>
    <t>g/m3</t>
  </si>
  <si>
    <t xml:space="preserve">Mass emission factors </t>
  </si>
  <si>
    <t xml:space="preserve">   CO</t>
  </si>
  <si>
    <t xml:space="preserve">   PM</t>
  </si>
  <si>
    <t xml:space="preserve">   CO2</t>
  </si>
  <si>
    <t>Emission per water boiled</t>
  </si>
  <si>
    <t>Exhaust carbon concentration</t>
  </si>
  <si>
    <t xml:space="preserve">Fuel moisture content (wet basis) </t>
  </si>
  <si>
    <t>Fuel carbon content</t>
  </si>
  <si>
    <t>by mass</t>
  </si>
  <si>
    <t>Emission benchmarks:</t>
  </si>
  <si>
    <t xml:space="preserve">   CO to Complete 5L WBT</t>
  </si>
  <si>
    <t xml:space="preserve">   PM to Complete 5L WBT</t>
  </si>
  <si>
    <t>g/kgf</t>
  </si>
  <si>
    <t>Carbon Monoxide Benchmark Value</t>
  </si>
  <si>
    <t>Particulate Matter Benchmark Value</t>
  </si>
  <si>
    <t>Hood carbon balance</t>
  </si>
  <si>
    <t>Mass Frac C</t>
  </si>
  <si>
    <t>To Do</t>
  </si>
  <si>
    <t>test entry form</t>
  </si>
  <si>
    <t>check all equations</t>
  </si>
  <si>
    <t>replicate sheets</t>
  </si>
  <si>
    <t>adjust to pressure</t>
  </si>
  <si>
    <t>Average CO2 (ppm)</t>
  </si>
  <si>
    <t>Average CO (ppm)</t>
  </si>
  <si>
    <t>Average PM (ug/m3)</t>
  </si>
  <si>
    <t>Atmospheric P (kPa)</t>
  </si>
  <si>
    <t>Wood consumed est. (dry)</t>
  </si>
  <si>
    <t>Background CO2 (ppm)**</t>
  </si>
  <si>
    <t>Background CO (ppm)**</t>
  </si>
  <si>
    <t>Background PM (ug/m3)**</t>
  </si>
  <si>
    <t>** For emission testing only</t>
  </si>
  <si>
    <t>gray: efficiency</t>
  </si>
  <si>
    <t>blue: emissions with hood method</t>
  </si>
  <si>
    <t>IF(ISBLANK('General Information'!H14),'General Information'!L21, IF(ISBLANK('General Information'!H15),('General Information'!L21+ E18*(75*4.2+2260))/(1-E18),'General Information'!L21))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</si>
</sst>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0.0"/>
    <numFmt numFmtId="166" formatCode="m/d/yyyy;@"/>
    <numFmt numFmtId="167" formatCode="_(* #,##0.00_);_(* \(#,##0.00\);_(* \-??_);_(@_)"/>
    <numFmt numFmtId="168" formatCode="_(* #,##0_);_(* \(#,##0\);_(* \-??_);_(@_)"/>
    <numFmt numFmtId="169" formatCode="_(* #,##0.0_);_(* \(#,##0.0\);_(* \-??_);_(@_)"/>
    <numFmt numFmtId="170" formatCode="#,##0;\-#,##0"/>
    <numFmt numFmtId="171" formatCode="_(* #,##0.000_);_(* \(#,##0.000\);_(* \-??_);_(@_)"/>
    <numFmt numFmtId="172" formatCode="0.0%"/>
    <numFmt numFmtId="173" formatCode="dd/mmm"/>
    <numFmt numFmtId="174" formatCode="_(* #,##0.0_);_(* \(#,##0.0\);_(* &quot;-&quot;?_);_(@_)"/>
    <numFmt numFmtId="175" formatCode="_(* #,##0.00_);_(* \(#,##0.00\);_(* ??_);_(@_)"/>
    <numFmt numFmtId="176" formatCode="0.000"/>
    <numFmt numFmtId="177" formatCode="0.0000000"/>
    <numFmt numFmtId="178" formatCode="0.000000"/>
    <numFmt numFmtId="179" formatCode="0.00000"/>
    <numFmt numFmtId="180" formatCode="0.0000"/>
    <numFmt numFmtId="181" formatCode="[$-409]dddd\,\ mmmm\ dd\,\ yyyy"/>
    <numFmt numFmtId="182" formatCode="[$-409]d\-mmm\-yy;@"/>
    <numFmt numFmtId="183" formatCode="[$-809]d\ mmmm\ yyyy;@"/>
    <numFmt numFmtId="184" formatCode="#,##0.000"/>
    <numFmt numFmtId="185" formatCode="#,##0.00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_);_(* \(#,##0\);_(* &quot;-&quot;??_);_(@_)"/>
    <numFmt numFmtId="193" formatCode="_(* #,##0.000_);_(* \(#,##0.000\);_(* &quot;-&quot;??_);_(@_)"/>
    <numFmt numFmtId="194" formatCode="_(* #,##0.0000_);_(* \(#,##0.0000\);_(* &quot;-&quot;??_);_(@_)"/>
    <numFmt numFmtId="195" formatCode="[$-409]h:mm:ss\ AM/PM"/>
    <numFmt numFmtId="196" formatCode="0.0&quot;kg&quot;"/>
    <numFmt numFmtId="197" formatCode="0.0&quot;_kg&quot;"/>
    <numFmt numFmtId="198" formatCode="0.0&quot; kg&quot;"/>
    <numFmt numFmtId="199" formatCode="[$-809]dd\ mmmm\ yyyy;@"/>
    <numFmt numFmtId="200" formatCode="dd/mm/yy;@"/>
    <numFmt numFmtId="201" formatCode="h:mm:ss;@"/>
    <numFmt numFmtId="202" formatCode="d/m/yy;@"/>
    <numFmt numFmtId="203" formatCode="[$-409]mmmm\ d\,\ yyyy;@"/>
    <numFmt numFmtId="204" formatCode="_(* #,##0.00000_);_(* \(#,##0.00000\);_(* &quot;-&quot;??_);_(@_)"/>
    <numFmt numFmtId="205" formatCode="_(* #,##0.000000_);_(* \(#,##0.000000\);_(* &quot;-&quot;??_);_(@_)"/>
    <numFmt numFmtId="206" formatCode="_(* #,##0.0000000_);_(* \(#,##0.0000000\);_(* &quot;-&quot;??_);_(@_)"/>
    <numFmt numFmtId="207" formatCode="_(* #,##0.00000000_);_(* \(#,##0.00000000\);_(* &quot;-&quot;??_);_(@_)"/>
    <numFmt numFmtId="208" formatCode="_(* #,##0.000000000_);_(* \(#,##0.000000000\);_(* &quot;-&quot;??_);_(@_)"/>
    <numFmt numFmtId="209" formatCode="_(* #,##0.0000000000_);_(* \(#,##0.0000000000\);_(* &quot;-&quot;??_);_(@_)"/>
    <numFmt numFmtId="210" formatCode="_(* #,##0.00000000000_);_(* \(#,##0.00000000000\);_(* &quot;-&quot;??_);_(@_)"/>
    <numFmt numFmtId="211" formatCode="_(* #,##0.000000000000_);_(* \(#,##0.000000000000\);_(* &quot;-&quot;??_);_(@_)"/>
    <numFmt numFmtId="212" formatCode="_(* #,##0.0000000000000_);_(* \(#,##0.0000000000000\);_(* &quot;-&quot;??_);_(@_)"/>
    <numFmt numFmtId="213" formatCode="_(* #,##0.00000000000000_);_(* \(#,##0.00000000000000\);_(* &quot;-&quot;??_);_(@_)"/>
    <numFmt numFmtId="214" formatCode="_(* #,##0.000000_);_(* \(#,##0.000000\);_(* &quot;-&quot;??????_);_(@_)"/>
    <numFmt numFmtId="215" formatCode="_(* #,##0.0000_);_(* \(#,##0.0000\);_(* \-??_);_(@_)"/>
    <numFmt numFmtId="216" formatCode="#,##0.0_);\(#,##0.0\)"/>
    <numFmt numFmtId="217" formatCode="0.0_);\(0.0\)"/>
    <numFmt numFmtId="218" formatCode="0_);\(0\)"/>
  </numFmts>
  <fonts count="67">
    <font>
      <sz val="10"/>
      <name val="Arial"/>
      <family val="2"/>
    </font>
    <font>
      <sz val="9"/>
      <name val="Arial"/>
      <family val="2"/>
    </font>
    <font>
      <b/>
      <sz val="9"/>
      <name val="Arial"/>
      <family val="2"/>
    </font>
    <font>
      <sz val="8"/>
      <name val="Arial"/>
      <family val="2"/>
    </font>
    <font>
      <b/>
      <i/>
      <sz val="9"/>
      <name val="Arial"/>
      <family val="2"/>
    </font>
    <font>
      <vertAlign val="subscript"/>
      <sz val="9"/>
      <name val="Arial"/>
      <family val="2"/>
    </font>
    <font>
      <sz val="8"/>
      <color indexed="8"/>
      <name val="Times New Roman"/>
      <family val="1"/>
    </font>
    <font>
      <b/>
      <sz val="8"/>
      <color indexed="8"/>
      <name val="Times New Roman"/>
      <family val="1"/>
    </font>
    <font>
      <u val="single"/>
      <sz val="9"/>
      <name val="Arial"/>
      <family val="2"/>
    </font>
    <font>
      <vertAlign val="superscript"/>
      <sz val="9"/>
      <name val="Arial"/>
      <family val="2"/>
    </font>
    <font>
      <b/>
      <sz val="10"/>
      <name val="Arial"/>
      <family val="2"/>
    </font>
    <font>
      <b/>
      <u val="single"/>
      <sz val="10"/>
      <name val="Arial"/>
      <family val="2"/>
    </font>
    <font>
      <b/>
      <vertAlign val="superscript"/>
      <sz val="10"/>
      <name val="Arial"/>
      <family val="2"/>
    </font>
    <font>
      <vertAlign val="superscript"/>
      <sz val="10"/>
      <name val="Arial"/>
      <family val="2"/>
    </font>
    <font>
      <i/>
      <sz val="10"/>
      <name val="Arial"/>
      <family val="2"/>
    </font>
    <font>
      <sz val="12"/>
      <name val="Arial"/>
      <family val="2"/>
    </font>
    <font>
      <sz val="14"/>
      <name val="Arial"/>
      <family val="2"/>
    </font>
    <font>
      <b/>
      <sz val="14"/>
      <name val="Arial"/>
      <family val="2"/>
    </font>
    <font>
      <b/>
      <i/>
      <sz val="12"/>
      <name val="Arial"/>
      <family val="2"/>
    </font>
    <font>
      <i/>
      <sz val="12"/>
      <name val="Arial"/>
      <family val="2"/>
    </font>
    <font>
      <i/>
      <u val="single"/>
      <sz val="12"/>
      <name val="Arial"/>
      <family val="2"/>
    </font>
    <font>
      <u val="single"/>
      <sz val="12"/>
      <name val="Arial"/>
      <family val="2"/>
    </font>
    <font>
      <b/>
      <i/>
      <sz val="16"/>
      <name val="Arial"/>
      <family val="2"/>
    </font>
    <font>
      <b/>
      <i/>
      <sz val="10"/>
      <name val="Arial"/>
      <family val="2"/>
    </font>
    <font>
      <sz val="8"/>
      <name val="Tahoma"/>
      <family val="0"/>
    </font>
    <font>
      <b/>
      <sz val="8"/>
      <name val="Tahoma"/>
      <family val="0"/>
    </font>
    <font>
      <u val="single"/>
      <sz val="8"/>
      <color indexed="12"/>
      <name val="Arial"/>
      <family val="2"/>
    </font>
    <font>
      <u val="single"/>
      <sz val="8"/>
      <color indexed="36"/>
      <name val="Arial"/>
      <family val="2"/>
    </font>
    <font>
      <b/>
      <i/>
      <sz val="14"/>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double">
        <color indexed="8"/>
      </right>
      <top>
        <color indexed="63"/>
      </top>
      <bottom>
        <color indexed="63"/>
      </bottom>
    </border>
    <border>
      <left style="double">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hair">
        <color indexed="8"/>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medium">
        <color indexed="8"/>
      </left>
      <right>
        <color indexed="63"/>
      </right>
      <top>
        <color indexed="63"/>
      </top>
      <bottom style="medium">
        <color indexed="8"/>
      </bottom>
    </border>
    <border>
      <left>
        <color indexed="63"/>
      </left>
      <right style="double">
        <color indexed="8"/>
      </right>
      <top>
        <color indexed="63"/>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color indexed="63"/>
      </bottom>
    </border>
    <border>
      <left>
        <color indexed="63"/>
      </left>
      <right>
        <color indexed="63"/>
      </right>
      <top style="dotted">
        <color indexed="8"/>
      </top>
      <bottom style="dotted">
        <color indexed="8"/>
      </bottom>
    </border>
    <border>
      <left>
        <color indexed="63"/>
      </left>
      <right>
        <color indexed="63"/>
      </right>
      <top>
        <color indexed="63"/>
      </top>
      <bottom style="dotted"/>
    </border>
    <border>
      <left>
        <color indexed="63"/>
      </left>
      <right>
        <color indexed="63"/>
      </right>
      <top>
        <color indexed="63"/>
      </top>
      <bottom style="dotted">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dotted"/>
      <bottom style="medium"/>
    </border>
    <border>
      <left style="thin"/>
      <right style="thin"/>
      <top style="thin"/>
      <bottom style="thin"/>
    </border>
    <border>
      <left style="thick"/>
      <right>
        <color indexed="63"/>
      </right>
      <top>
        <color indexed="63"/>
      </top>
      <bottom style="dotted"/>
    </border>
    <border>
      <left>
        <color indexed="63"/>
      </left>
      <right style="thin"/>
      <top>
        <color indexed="63"/>
      </top>
      <bottom>
        <color indexed="63"/>
      </bottom>
    </border>
    <border>
      <left>
        <color indexed="63"/>
      </left>
      <right style="thin"/>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medium">
        <color indexed="8"/>
      </top>
      <bottom style="medium">
        <color indexed="8"/>
      </bottom>
    </border>
    <border>
      <left style="double">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thick">
        <color indexed="8"/>
      </top>
      <bottom>
        <color indexed="63"/>
      </bottom>
    </border>
    <border>
      <left>
        <color indexed="63"/>
      </left>
      <right>
        <color indexed="63"/>
      </right>
      <top style="hair">
        <color indexed="8"/>
      </top>
      <bottom style="double">
        <color indexed="8"/>
      </bottom>
    </border>
    <border>
      <left>
        <color indexed="63"/>
      </left>
      <right>
        <color indexed="63"/>
      </right>
      <top style="hair">
        <color indexed="8"/>
      </top>
      <bottom style="medium">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double">
        <color indexed="8"/>
      </left>
      <right style="double">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4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6" xfId="0" applyFont="1" applyBorder="1" applyAlignment="1">
      <alignment/>
    </xf>
    <xf numFmtId="0" fontId="1" fillId="0" borderId="13" xfId="0" applyFont="1" applyBorder="1" applyAlignment="1">
      <alignment horizontal="left"/>
    </xf>
    <xf numFmtId="0" fontId="2" fillId="0" borderId="0" xfId="0" applyFont="1" applyBorder="1" applyAlignment="1">
      <alignment horizontal="left"/>
    </xf>
    <xf numFmtId="0" fontId="1" fillId="0" borderId="16" xfId="0" applyFont="1" applyBorder="1" applyAlignment="1">
      <alignment horizontal="left"/>
    </xf>
    <xf numFmtId="0" fontId="2" fillId="0" borderId="17" xfId="0" applyFont="1" applyBorder="1" applyAlignment="1">
      <alignment horizontal="left" indent="1"/>
    </xf>
    <xf numFmtId="0" fontId="1" fillId="0" borderId="18" xfId="0" applyFont="1" applyBorder="1" applyAlignment="1">
      <alignment/>
    </xf>
    <xf numFmtId="0" fontId="1" fillId="0" borderId="19" xfId="0" applyFont="1" applyBorder="1" applyAlignment="1">
      <alignment/>
    </xf>
    <xf numFmtId="0" fontId="1" fillId="0" borderId="0" xfId="0" applyFont="1" applyBorder="1" applyAlignment="1">
      <alignment horizontal="center"/>
    </xf>
    <xf numFmtId="0" fontId="1" fillId="0" borderId="20" xfId="0" applyFont="1" applyBorder="1" applyAlignment="1">
      <alignment/>
    </xf>
    <xf numFmtId="0" fontId="1" fillId="0" borderId="19" xfId="0" applyFont="1" applyBorder="1" applyAlignment="1">
      <alignment horizontal="center"/>
    </xf>
    <xf numFmtId="0" fontId="1"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1" fillId="0" borderId="17"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2" fillId="0" borderId="21" xfId="0" applyFont="1" applyBorder="1" applyAlignment="1">
      <alignment/>
    </xf>
    <xf numFmtId="0" fontId="2" fillId="0" borderId="23"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6" xfId="0" applyFont="1" applyBorder="1" applyAlignment="1">
      <alignment/>
    </xf>
    <xf numFmtId="0" fontId="1" fillId="0" borderId="25" xfId="0" applyFont="1" applyBorder="1" applyAlignment="1">
      <alignment/>
    </xf>
    <xf numFmtId="164" fontId="1" fillId="32" borderId="27" xfId="0" applyNumberFormat="1" applyFont="1" applyFill="1" applyBorder="1" applyAlignment="1" applyProtection="1">
      <alignment/>
      <protection locked="0"/>
    </xf>
    <xf numFmtId="0" fontId="1" fillId="0" borderId="0" xfId="0" applyFont="1" applyBorder="1" applyAlignment="1">
      <alignment horizontal="center" wrapText="1"/>
    </xf>
    <xf numFmtId="0" fontId="1" fillId="0" borderId="28" xfId="0" applyFont="1" applyBorder="1" applyAlignment="1">
      <alignment horizontal="center" wrapText="1"/>
    </xf>
    <xf numFmtId="0" fontId="1" fillId="0" borderId="19" xfId="0" applyFont="1" applyBorder="1" applyAlignment="1">
      <alignment horizontal="center" wrapText="1"/>
    </xf>
    <xf numFmtId="0" fontId="1" fillId="0" borderId="28" xfId="0" applyFont="1" applyBorder="1" applyAlignment="1">
      <alignment/>
    </xf>
    <xf numFmtId="0" fontId="1" fillId="32" borderId="27" xfId="0" applyFont="1" applyFill="1" applyBorder="1" applyAlignment="1" applyProtection="1">
      <alignment/>
      <protection locked="0"/>
    </xf>
    <xf numFmtId="165" fontId="1" fillId="32" borderId="27" xfId="0" applyNumberFormat="1" applyFont="1" applyFill="1" applyBorder="1" applyAlignment="1" applyProtection="1">
      <alignment/>
      <protection locked="0"/>
    </xf>
    <xf numFmtId="165" fontId="1" fillId="0" borderId="0" xfId="0" applyNumberFormat="1" applyFont="1" applyBorder="1" applyAlignment="1">
      <alignment horizontal="center" wrapText="1"/>
    </xf>
    <xf numFmtId="165" fontId="1" fillId="0" borderId="28" xfId="0" applyNumberFormat="1" applyFont="1" applyBorder="1" applyAlignment="1">
      <alignment horizontal="center" wrapText="1"/>
    </xf>
    <xf numFmtId="165" fontId="1" fillId="0" borderId="19" xfId="0" applyNumberFormat="1" applyFont="1" applyBorder="1" applyAlignment="1">
      <alignment horizontal="center" wrapText="1"/>
    </xf>
    <xf numFmtId="165" fontId="1" fillId="0" borderId="15" xfId="0" applyNumberFormat="1" applyFont="1" applyBorder="1" applyAlignment="1">
      <alignment/>
    </xf>
    <xf numFmtId="165" fontId="1" fillId="0" borderId="28" xfId="0" applyNumberFormat="1" applyFont="1" applyBorder="1" applyAlignment="1">
      <alignment/>
    </xf>
    <xf numFmtId="165" fontId="1" fillId="0" borderId="0" xfId="0" applyNumberFormat="1" applyFont="1" applyBorder="1" applyAlignment="1">
      <alignment/>
    </xf>
    <xf numFmtId="0" fontId="1" fillId="0" borderId="19" xfId="0" applyFont="1" applyBorder="1" applyAlignment="1">
      <alignment horizontal="left"/>
    </xf>
    <xf numFmtId="0" fontId="1" fillId="0" borderId="0" xfId="0" applyFont="1" applyFill="1" applyBorder="1" applyAlignment="1">
      <alignment horizontal="center" wrapText="1"/>
    </xf>
    <xf numFmtId="0" fontId="1" fillId="0" borderId="28" xfId="0" applyFont="1" applyFill="1" applyBorder="1" applyAlignment="1">
      <alignment/>
    </xf>
    <xf numFmtId="0" fontId="0" fillId="0" borderId="0" xfId="0" applyFill="1" applyAlignment="1">
      <alignment/>
    </xf>
    <xf numFmtId="0" fontId="1" fillId="0" borderId="19" xfId="0" applyFont="1" applyFill="1" applyBorder="1" applyAlignment="1">
      <alignment horizontal="center" wrapText="1"/>
    </xf>
    <xf numFmtId="0" fontId="1" fillId="0" borderId="0" xfId="0" applyFont="1" applyBorder="1" applyAlignment="1" applyProtection="1">
      <alignment horizontal="left"/>
      <protection locked="0"/>
    </xf>
    <xf numFmtId="0" fontId="1" fillId="0" borderId="0" xfId="0" applyFont="1" applyFill="1" applyBorder="1" applyAlignment="1">
      <alignment/>
    </xf>
    <xf numFmtId="0" fontId="2" fillId="0" borderId="25" xfId="0" applyFont="1" applyBorder="1" applyAlignment="1">
      <alignment/>
    </xf>
    <xf numFmtId="0" fontId="1" fillId="0" borderId="25" xfId="0" applyFont="1" applyBorder="1" applyAlignment="1">
      <alignment/>
    </xf>
    <xf numFmtId="0" fontId="1" fillId="0" borderId="25" xfId="0" applyFont="1" applyBorder="1" applyAlignment="1" applyProtection="1">
      <alignment horizontal="left"/>
      <protection locked="0"/>
    </xf>
    <xf numFmtId="9" fontId="1" fillId="0" borderId="25" xfId="0" applyNumberFormat="1" applyFont="1" applyBorder="1" applyAlignment="1" applyProtection="1">
      <alignment horizontal="left"/>
      <protection locked="0"/>
    </xf>
    <xf numFmtId="0" fontId="2" fillId="0" borderId="25" xfId="0" applyFont="1" applyBorder="1" applyAlignment="1" applyProtection="1">
      <alignment horizontal="center"/>
      <protection locked="0"/>
    </xf>
    <xf numFmtId="0" fontId="2" fillId="0" borderId="21" xfId="0" applyFont="1" applyBorder="1" applyAlignment="1">
      <alignment horizontal="left" wrapText="1"/>
    </xf>
    <xf numFmtId="0" fontId="2" fillId="0" borderId="21" xfId="0" applyFont="1" applyBorder="1" applyAlignment="1">
      <alignment wrapText="1"/>
    </xf>
    <xf numFmtId="0" fontId="2" fillId="0" borderId="21" xfId="0" applyFont="1" applyBorder="1" applyAlignment="1">
      <alignment horizontal="center" wrapText="1"/>
    </xf>
    <xf numFmtId="0" fontId="0" fillId="0" borderId="28" xfId="0" applyBorder="1" applyAlignment="1">
      <alignment/>
    </xf>
    <xf numFmtId="0" fontId="0" fillId="0" borderId="0" xfId="0" applyBorder="1" applyAlignment="1">
      <alignment/>
    </xf>
    <xf numFmtId="0" fontId="1" fillId="0" borderId="29" xfId="0" applyFont="1" applyFill="1" applyBorder="1" applyAlignment="1" applyProtection="1">
      <alignment/>
      <protection locked="0"/>
    </xf>
    <xf numFmtId="165" fontId="1" fillId="32" borderId="27" xfId="42" applyNumberFormat="1" applyFont="1" applyFill="1" applyBorder="1" applyAlignment="1" applyProtection="1">
      <alignment horizontal="right"/>
      <protection locked="0"/>
    </xf>
    <xf numFmtId="0" fontId="1" fillId="0" borderId="0" xfId="0" applyFont="1" applyBorder="1" applyAlignment="1">
      <alignment horizontal="left"/>
    </xf>
    <xf numFmtId="0" fontId="1" fillId="0" borderId="30" xfId="0" applyFont="1" applyBorder="1" applyAlignment="1">
      <alignment/>
    </xf>
    <xf numFmtId="0" fontId="1" fillId="0" borderId="0" xfId="0" applyFont="1" applyBorder="1" applyAlignment="1" applyProtection="1">
      <alignment/>
      <protection locked="0"/>
    </xf>
    <xf numFmtId="0" fontId="1" fillId="0" borderId="28" xfId="0" applyFont="1" applyBorder="1" applyAlignment="1">
      <alignment/>
    </xf>
    <xf numFmtId="0" fontId="1" fillId="0" borderId="27" xfId="0" applyFont="1" applyFill="1" applyBorder="1" applyAlignment="1" applyProtection="1">
      <alignment/>
      <protection/>
    </xf>
    <xf numFmtId="0" fontId="1" fillId="0" borderId="25" xfId="0" applyFont="1" applyFill="1" applyBorder="1" applyAlignment="1" applyProtection="1">
      <alignment/>
      <protection/>
    </xf>
    <xf numFmtId="0" fontId="1" fillId="0" borderId="25" xfId="0" applyFont="1" applyFill="1" applyBorder="1" applyAlignment="1" applyProtection="1">
      <alignment horizontal="center" wrapText="1"/>
      <protection/>
    </xf>
    <xf numFmtId="0" fontId="1" fillId="0" borderId="26" xfId="0" applyFont="1" applyFill="1" applyBorder="1" applyAlignment="1" applyProtection="1">
      <alignment horizontal="center" wrapText="1"/>
      <protection/>
    </xf>
    <xf numFmtId="0" fontId="1" fillId="0" borderId="15" xfId="0" applyFont="1" applyFill="1" applyBorder="1" applyAlignment="1" applyProtection="1">
      <alignment/>
      <protection/>
    </xf>
    <xf numFmtId="0" fontId="1" fillId="0" borderId="26" xfId="0" applyFont="1" applyFill="1" applyBorder="1" applyAlignment="1" applyProtection="1">
      <alignment/>
      <protection/>
    </xf>
    <xf numFmtId="0" fontId="1" fillId="0" borderId="25" xfId="0" applyFont="1" applyFill="1" applyBorder="1" applyAlignment="1" applyProtection="1">
      <alignment/>
      <protection/>
    </xf>
    <xf numFmtId="0" fontId="1" fillId="0" borderId="24" xfId="0" applyFont="1" applyBorder="1" applyAlignment="1">
      <alignment horizontal="center" wrapText="1"/>
    </xf>
    <xf numFmtId="168" fontId="1" fillId="0" borderId="27" xfId="42" applyNumberFormat="1" applyFont="1" applyFill="1" applyBorder="1" applyAlignment="1" applyProtection="1">
      <alignment horizontal="right"/>
      <protection locked="0"/>
    </xf>
    <xf numFmtId="3" fontId="1" fillId="0" borderId="0" xfId="0" applyNumberFormat="1" applyFont="1" applyBorder="1" applyAlignment="1">
      <alignment horizontal="left"/>
    </xf>
    <xf numFmtId="168" fontId="1" fillId="0" borderId="27" xfId="42" applyNumberFormat="1" applyFont="1" applyFill="1" applyBorder="1" applyAlignment="1" applyProtection="1">
      <alignment horizontal="right"/>
      <protection/>
    </xf>
    <xf numFmtId="0" fontId="2" fillId="0" borderId="0" xfId="0" applyFont="1" applyBorder="1" applyAlignment="1">
      <alignment/>
    </xf>
    <xf numFmtId="9" fontId="1" fillId="0" borderId="0" xfId="60" applyFont="1" applyFill="1" applyBorder="1" applyAlignment="1" applyProtection="1">
      <alignment horizontal="left"/>
      <protection/>
    </xf>
    <xf numFmtId="0" fontId="2" fillId="33" borderId="0" xfId="0" applyFont="1" applyFill="1" applyBorder="1" applyAlignment="1">
      <alignment/>
    </xf>
    <xf numFmtId="0" fontId="8" fillId="0" borderId="0" xfId="0" applyFont="1" applyBorder="1" applyAlignment="1">
      <alignment horizontal="center"/>
    </xf>
    <xf numFmtId="0" fontId="2" fillId="33" borderId="0" xfId="0" applyFont="1" applyFill="1" applyBorder="1" applyAlignment="1">
      <alignment horizontal="left" indent="2"/>
    </xf>
    <xf numFmtId="0" fontId="1" fillId="0" borderId="0" xfId="0" applyFont="1" applyFill="1" applyBorder="1" applyAlignment="1">
      <alignment/>
    </xf>
    <xf numFmtId="0" fontId="1" fillId="0" borderId="0" xfId="0" applyFont="1" applyFill="1" applyBorder="1" applyAlignment="1">
      <alignment horizontal="center"/>
    </xf>
    <xf numFmtId="168" fontId="1" fillId="0" borderId="27" xfId="42" applyNumberFormat="1" applyFont="1" applyFill="1" applyBorder="1" applyAlignment="1" applyProtection="1">
      <alignment/>
      <protection/>
    </xf>
    <xf numFmtId="0" fontId="1" fillId="0" borderId="19" xfId="0" applyFont="1" applyFill="1" applyBorder="1" applyAlignment="1">
      <alignment/>
    </xf>
    <xf numFmtId="0" fontId="1" fillId="0" borderId="0" xfId="0" applyFont="1" applyFill="1" applyBorder="1" applyAlignment="1">
      <alignment horizontal="left" indent="2"/>
    </xf>
    <xf numFmtId="0" fontId="1" fillId="0" borderId="0" xfId="0" applyFont="1" applyBorder="1" applyAlignment="1">
      <alignment horizontal="left" vertical="top"/>
    </xf>
    <xf numFmtId="168" fontId="1" fillId="0" borderId="0" xfId="42" applyNumberFormat="1" applyFont="1" applyFill="1" applyBorder="1" applyAlignment="1" applyProtection="1">
      <alignment/>
      <protection/>
    </xf>
    <xf numFmtId="168" fontId="0" fillId="0" borderId="0" xfId="0" applyNumberFormat="1" applyAlignment="1">
      <alignment/>
    </xf>
    <xf numFmtId="0" fontId="1" fillId="0" borderId="31" xfId="0" applyFont="1" applyBorder="1" applyAlignment="1">
      <alignment/>
    </xf>
    <xf numFmtId="0" fontId="2" fillId="0" borderId="32" xfId="0" applyFont="1" applyBorder="1" applyAlignment="1">
      <alignment/>
    </xf>
    <xf numFmtId="0" fontId="2" fillId="0" borderId="32" xfId="0" applyFont="1" applyFill="1" applyBorder="1" applyAlignment="1" applyProtection="1">
      <alignment/>
      <protection locked="0"/>
    </xf>
    <xf numFmtId="0" fontId="2" fillId="32" borderId="33" xfId="0" applyFont="1" applyFill="1" applyBorder="1" applyAlignment="1" applyProtection="1">
      <alignment horizontal="left"/>
      <protection locked="0"/>
    </xf>
    <xf numFmtId="0" fontId="2" fillId="32" borderId="27" xfId="0" applyFont="1" applyFill="1" applyBorder="1" applyAlignment="1" applyProtection="1">
      <alignment horizontal="left"/>
      <protection locked="0"/>
    </xf>
    <xf numFmtId="0" fontId="2" fillId="32" borderId="34" xfId="0" applyFont="1" applyFill="1" applyBorder="1" applyAlignment="1" applyProtection="1">
      <alignment horizontal="left"/>
      <protection locked="0"/>
    </xf>
    <xf numFmtId="9" fontId="1" fillId="0" borderId="27" xfId="60" applyFont="1" applyFill="1" applyBorder="1" applyAlignment="1" applyProtection="1">
      <alignment/>
      <protection/>
    </xf>
    <xf numFmtId="167" fontId="1" fillId="0" borderId="27" xfId="42" applyNumberFormat="1" applyFont="1" applyFill="1" applyBorder="1" applyAlignment="1" applyProtection="1">
      <alignment/>
      <protection/>
    </xf>
    <xf numFmtId="0" fontId="1" fillId="0" borderId="35" xfId="0" applyFont="1" applyFill="1" applyBorder="1" applyAlignment="1">
      <alignment horizontal="left" indent="2"/>
    </xf>
    <xf numFmtId="0" fontId="1" fillId="0" borderId="25" xfId="0" applyFont="1" applyFill="1" applyBorder="1" applyAlignment="1">
      <alignment/>
    </xf>
    <xf numFmtId="0" fontId="1" fillId="0" borderId="25" xfId="0" applyFont="1" applyFill="1" applyBorder="1" applyAlignment="1">
      <alignment horizontal="center"/>
    </xf>
    <xf numFmtId="168" fontId="1" fillId="0" borderId="25" xfId="42" applyNumberFormat="1" applyFont="1" applyFill="1" applyBorder="1" applyAlignment="1" applyProtection="1">
      <alignment/>
      <protection/>
    </xf>
    <xf numFmtId="0" fontId="1" fillId="0" borderId="25" xfId="0" applyFont="1" applyFill="1" applyBorder="1" applyAlignment="1">
      <alignment horizontal="center" wrapText="1"/>
    </xf>
    <xf numFmtId="0" fontId="1" fillId="0" borderId="36" xfId="0" applyFont="1" applyBorder="1" applyAlignment="1">
      <alignment/>
    </xf>
    <xf numFmtId="0" fontId="1" fillId="0" borderId="0" xfId="0" applyFont="1" applyAlignment="1">
      <alignment horizontal="center"/>
    </xf>
    <xf numFmtId="0" fontId="1" fillId="0" borderId="37" xfId="0" applyFont="1" applyBorder="1" applyAlignment="1">
      <alignment/>
    </xf>
    <xf numFmtId="0" fontId="2" fillId="0" borderId="38" xfId="0" applyFont="1" applyBorder="1" applyAlignment="1">
      <alignment/>
    </xf>
    <xf numFmtId="0" fontId="2" fillId="0" borderId="38" xfId="0" applyFont="1" applyBorder="1" applyAlignment="1">
      <alignment horizontal="center"/>
    </xf>
    <xf numFmtId="0" fontId="1" fillId="0" borderId="39"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8" xfId="0" applyFont="1" applyBorder="1" applyAlignment="1">
      <alignment horizontal="center"/>
    </xf>
    <xf numFmtId="0" fontId="1" fillId="0" borderId="39" xfId="0" applyFont="1" applyBorder="1" applyAlignment="1">
      <alignment/>
    </xf>
    <xf numFmtId="0" fontId="1" fillId="0" borderId="0" xfId="0" applyFont="1" applyAlignment="1">
      <alignment vertical="top" wrapText="1"/>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167" fontId="0" fillId="0" borderId="0" xfId="42" applyFont="1" applyFill="1" applyBorder="1" applyAlignment="1" applyProtection="1">
      <alignment horizontal="center"/>
      <protection/>
    </xf>
    <xf numFmtId="167" fontId="0" fillId="0" borderId="0" xfId="42" applyFont="1" applyFill="1" applyBorder="1" applyAlignment="1" applyProtection="1">
      <alignment horizontal="right"/>
      <protection/>
    </xf>
    <xf numFmtId="0" fontId="0" fillId="0" borderId="10" xfId="0" applyFont="1" applyBorder="1" applyAlignment="1">
      <alignment/>
    </xf>
    <xf numFmtId="0" fontId="0" fillId="0" borderId="11" xfId="0" applyFont="1" applyBorder="1" applyAlignment="1">
      <alignment/>
    </xf>
    <xf numFmtId="0" fontId="10" fillId="0" borderId="11" xfId="0" applyFont="1" applyBorder="1" applyAlignment="1">
      <alignment/>
    </xf>
    <xf numFmtId="167" fontId="0" fillId="0" borderId="11" xfId="42" applyFont="1" applyFill="1" applyBorder="1" applyAlignment="1" applyProtection="1">
      <alignment horizontal="center"/>
      <protection/>
    </xf>
    <xf numFmtId="167" fontId="0" fillId="0" borderId="11" xfId="42" applyFont="1" applyFill="1" applyBorder="1" applyAlignment="1" applyProtection="1">
      <alignment horizontal="right"/>
      <protection/>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center"/>
    </xf>
    <xf numFmtId="0" fontId="10" fillId="0" borderId="40" xfId="0" applyFont="1" applyBorder="1" applyAlignment="1">
      <alignment/>
    </xf>
    <xf numFmtId="0" fontId="10" fillId="0" borderId="41" xfId="0" applyFont="1" applyBorder="1" applyAlignment="1">
      <alignment/>
    </xf>
    <xf numFmtId="0" fontId="10" fillId="0" borderId="41" xfId="0" applyFont="1" applyBorder="1" applyAlignment="1">
      <alignment horizontal="center"/>
    </xf>
    <xf numFmtId="167" fontId="10" fillId="0" borderId="41" xfId="42" applyFont="1" applyFill="1" applyBorder="1" applyAlignment="1" applyProtection="1">
      <alignment horizontal="center"/>
      <protection/>
    </xf>
    <xf numFmtId="167" fontId="10" fillId="0" borderId="40" xfId="42" applyFont="1" applyFill="1" applyBorder="1" applyAlignment="1" applyProtection="1">
      <alignment horizontal="center"/>
      <protection/>
    </xf>
    <xf numFmtId="167" fontId="10" fillId="0" borderId="42" xfId="42" applyFont="1" applyFill="1" applyBorder="1" applyAlignment="1" applyProtection="1">
      <alignment horizontal="center"/>
      <protection/>
    </xf>
    <xf numFmtId="0" fontId="0" fillId="0" borderId="30" xfId="0" applyFont="1" applyBorder="1" applyAlignment="1">
      <alignment horizontal="left" indent="1"/>
    </xf>
    <xf numFmtId="0" fontId="0" fillId="0" borderId="0" xfId="0" applyFont="1" applyBorder="1" applyAlignment="1">
      <alignment horizontal="left" indent="1"/>
    </xf>
    <xf numFmtId="168" fontId="0" fillId="0" borderId="0" xfId="42" applyNumberFormat="1" applyFont="1" applyFill="1" applyBorder="1" applyAlignment="1" applyProtection="1">
      <alignment horizontal="center"/>
      <protection/>
    </xf>
    <xf numFmtId="165" fontId="0" fillId="0" borderId="30" xfId="42" applyNumberFormat="1" applyFont="1" applyFill="1" applyBorder="1" applyAlignment="1" applyProtection="1">
      <alignment horizontal="center"/>
      <protection/>
    </xf>
    <xf numFmtId="169" fontId="0" fillId="0" borderId="28" xfId="42" applyNumberFormat="1" applyFont="1" applyFill="1" applyBorder="1" applyAlignment="1" applyProtection="1">
      <alignment horizontal="center"/>
      <protection/>
    </xf>
    <xf numFmtId="9" fontId="0" fillId="0" borderId="28" xfId="60" applyFont="1" applyFill="1" applyBorder="1" applyAlignment="1" applyProtection="1">
      <alignment horizontal="center"/>
      <protection/>
    </xf>
    <xf numFmtId="9" fontId="0" fillId="0" borderId="0" xfId="60" applyFont="1" applyFill="1" applyBorder="1" applyAlignment="1" applyProtection="1">
      <alignment horizontal="center"/>
      <protection/>
    </xf>
    <xf numFmtId="9" fontId="0" fillId="0" borderId="30" xfId="60" applyFont="1" applyFill="1" applyBorder="1" applyAlignment="1" applyProtection="1">
      <alignment horizontal="center"/>
      <protection/>
    </xf>
    <xf numFmtId="0" fontId="0" fillId="0" borderId="43" xfId="0" applyFont="1" applyBorder="1" applyAlignment="1">
      <alignment horizontal="left" indent="1"/>
    </xf>
    <xf numFmtId="0" fontId="0" fillId="0" borderId="21" xfId="0" applyFont="1" applyBorder="1" applyAlignment="1">
      <alignment horizontal="left" indent="1"/>
    </xf>
    <xf numFmtId="0" fontId="0" fillId="0" borderId="21" xfId="0" applyFont="1" applyBorder="1" applyAlignment="1">
      <alignment horizontal="center"/>
    </xf>
    <xf numFmtId="168" fontId="0" fillId="0" borderId="21" xfId="42" applyNumberFormat="1" applyFont="1" applyFill="1" applyBorder="1" applyAlignment="1" applyProtection="1">
      <alignment horizontal="center"/>
      <protection/>
    </xf>
    <xf numFmtId="1" fontId="0" fillId="0" borderId="43" xfId="42" applyNumberFormat="1" applyFont="1" applyFill="1" applyBorder="1" applyAlignment="1" applyProtection="1">
      <alignment horizontal="center"/>
      <protection/>
    </xf>
    <xf numFmtId="169" fontId="0" fillId="0" borderId="22" xfId="42" applyNumberFormat="1" applyFont="1" applyFill="1" applyBorder="1" applyAlignment="1" applyProtection="1">
      <alignment horizontal="center"/>
      <protection/>
    </xf>
    <xf numFmtId="9" fontId="0" fillId="0" borderId="22" xfId="60" applyFont="1" applyFill="1" applyBorder="1" applyAlignment="1" applyProtection="1">
      <alignment horizontal="center"/>
      <protection/>
    </xf>
    <xf numFmtId="165" fontId="0" fillId="0" borderId="0" xfId="42" applyNumberFormat="1" applyFont="1" applyFill="1" applyBorder="1" applyAlignment="1" applyProtection="1">
      <alignment horizontal="center"/>
      <protection/>
    </xf>
    <xf numFmtId="165" fontId="10" fillId="0" borderId="40" xfId="42" applyNumberFormat="1" applyFont="1" applyFill="1" applyBorder="1" applyAlignment="1" applyProtection="1">
      <alignment horizontal="center"/>
      <protection/>
    </xf>
    <xf numFmtId="9" fontId="10" fillId="0" borderId="42" xfId="60" applyFont="1" applyFill="1" applyBorder="1" applyAlignment="1" applyProtection="1">
      <alignment horizontal="center"/>
      <protection/>
    </xf>
    <xf numFmtId="0" fontId="0" fillId="0" borderId="28" xfId="60" applyNumberFormat="1" applyFont="1" applyFill="1" applyBorder="1" applyAlignment="1" applyProtection="1">
      <alignment horizontal="center"/>
      <protection/>
    </xf>
    <xf numFmtId="168" fontId="0" fillId="0" borderId="0" xfId="0" applyNumberFormat="1" applyFont="1" applyBorder="1" applyAlignment="1">
      <alignment horizontal="center"/>
    </xf>
    <xf numFmtId="0" fontId="1" fillId="0" borderId="0" xfId="0" applyFont="1" applyBorder="1" applyAlignment="1">
      <alignment horizontal="left" indent="2"/>
    </xf>
    <xf numFmtId="1" fontId="0" fillId="0" borderId="30" xfId="42" applyNumberFormat="1" applyFont="1" applyFill="1" applyBorder="1" applyAlignment="1" applyProtection="1">
      <alignment horizontal="center"/>
      <protection/>
    </xf>
    <xf numFmtId="167" fontId="0" fillId="0" borderId="21" xfId="42" applyNumberFormat="1" applyFont="1" applyFill="1" applyBorder="1" applyAlignment="1" applyProtection="1">
      <alignment horizontal="center"/>
      <protection/>
    </xf>
    <xf numFmtId="2" fontId="0" fillId="0" borderId="43" xfId="42" applyNumberFormat="1" applyFont="1" applyFill="1" applyBorder="1" applyAlignment="1" applyProtection="1">
      <alignment horizontal="center"/>
      <protection/>
    </xf>
    <xf numFmtId="167" fontId="0" fillId="0" borderId="0" xfId="42" applyNumberFormat="1" applyFont="1" applyFill="1" applyBorder="1" applyAlignment="1" applyProtection="1">
      <alignment horizontal="center"/>
      <protection/>
    </xf>
    <xf numFmtId="2" fontId="0" fillId="0" borderId="0" xfId="42" applyNumberFormat="1" applyFont="1" applyFill="1" applyBorder="1" applyAlignment="1" applyProtection="1">
      <alignment horizontal="center"/>
      <protection/>
    </xf>
    <xf numFmtId="169" fontId="0" fillId="0" borderId="0" xfId="42" applyNumberFormat="1" applyFont="1" applyFill="1" applyBorder="1" applyAlignment="1" applyProtection="1">
      <alignment horizontal="center"/>
      <protection/>
    </xf>
    <xf numFmtId="0" fontId="10" fillId="0" borderId="0" xfId="0" applyFont="1" applyBorder="1" applyAlignment="1">
      <alignment horizontal="left" indent="1"/>
    </xf>
    <xf numFmtId="0" fontId="0" fillId="0" borderId="10" xfId="0" applyFont="1" applyBorder="1" applyAlignment="1">
      <alignment horizontal="left" indent="1"/>
    </xf>
    <xf numFmtId="0" fontId="0" fillId="0" borderId="11" xfId="0" applyFont="1" applyBorder="1" applyAlignment="1">
      <alignment horizontal="left" indent="1"/>
    </xf>
    <xf numFmtId="0" fontId="0" fillId="0" borderId="11" xfId="0" applyFont="1" applyBorder="1" applyAlignment="1">
      <alignment horizontal="center"/>
    </xf>
    <xf numFmtId="168" fontId="0" fillId="0" borderId="11" xfId="42" applyNumberFormat="1" applyFont="1" applyFill="1" applyBorder="1" applyAlignment="1" applyProtection="1">
      <alignment horizontal="center"/>
      <protection/>
    </xf>
    <xf numFmtId="168" fontId="0" fillId="0" borderId="44" xfId="42" applyNumberFormat="1" applyFont="1" applyFill="1" applyBorder="1" applyAlignment="1" applyProtection="1">
      <alignment horizontal="center"/>
      <protection/>
    </xf>
    <xf numFmtId="169" fontId="0" fillId="0" borderId="12" xfId="42" applyNumberFormat="1" applyFont="1" applyFill="1" applyBorder="1" applyAlignment="1" applyProtection="1">
      <alignment horizontal="center"/>
      <protection/>
    </xf>
    <xf numFmtId="9" fontId="0" fillId="0" borderId="12" xfId="60" applyFont="1" applyFill="1" applyBorder="1" applyAlignment="1" applyProtection="1">
      <alignment horizontal="center"/>
      <protection/>
    </xf>
    <xf numFmtId="0" fontId="0" fillId="0" borderId="38" xfId="0" applyFont="1" applyBorder="1" applyAlignment="1">
      <alignment horizontal="left" indent="1"/>
    </xf>
    <xf numFmtId="0" fontId="0" fillId="0" borderId="38" xfId="0" applyFont="1" applyBorder="1" applyAlignment="1">
      <alignment horizontal="center"/>
    </xf>
    <xf numFmtId="168" fontId="0" fillId="0" borderId="38" xfId="42" applyNumberFormat="1" applyFont="1" applyFill="1" applyBorder="1" applyAlignment="1" applyProtection="1">
      <alignment horizontal="center"/>
      <protection/>
    </xf>
    <xf numFmtId="168" fontId="0" fillId="0" borderId="45" xfId="42" applyNumberFormat="1" applyFont="1" applyFill="1" applyBorder="1" applyAlignment="1" applyProtection="1">
      <alignment horizontal="center"/>
      <protection/>
    </xf>
    <xf numFmtId="169" fontId="0" fillId="0" borderId="39" xfId="42" applyNumberFormat="1" applyFont="1" applyFill="1" applyBorder="1" applyAlignment="1" applyProtection="1">
      <alignment horizontal="center"/>
      <protection/>
    </xf>
    <xf numFmtId="9" fontId="0" fillId="0" borderId="39" xfId="60" applyFont="1" applyFill="1" applyBorder="1" applyAlignment="1" applyProtection="1">
      <alignment horizontal="center"/>
      <protection/>
    </xf>
    <xf numFmtId="2" fontId="0" fillId="0" borderId="0" xfId="42" applyNumberFormat="1" applyFont="1" applyFill="1" applyBorder="1" applyAlignment="1" applyProtection="1">
      <alignment horizontal="right"/>
      <protection/>
    </xf>
    <xf numFmtId="169" fontId="0" fillId="0" borderId="0" xfId="42" applyNumberFormat="1" applyFont="1" applyFill="1" applyBorder="1" applyAlignment="1" applyProtection="1">
      <alignment horizontal="right"/>
      <protection/>
    </xf>
    <xf numFmtId="0" fontId="0" fillId="0" borderId="37" xfId="0" applyFont="1" applyBorder="1" applyAlignment="1">
      <alignment/>
    </xf>
    <xf numFmtId="0" fontId="10" fillId="0" borderId="38" xfId="0" applyFont="1" applyBorder="1" applyAlignment="1">
      <alignment/>
    </xf>
    <xf numFmtId="167" fontId="0" fillId="0" borderId="38" xfId="42" applyFont="1" applyFill="1" applyBorder="1" applyAlignment="1" applyProtection="1">
      <alignment horizontal="center"/>
      <protection/>
    </xf>
    <xf numFmtId="167" fontId="0" fillId="0" borderId="38" xfId="42" applyFont="1" applyFill="1" applyBorder="1" applyAlignment="1" applyProtection="1">
      <alignment horizontal="right"/>
      <protection/>
    </xf>
    <xf numFmtId="0" fontId="0" fillId="0" borderId="38" xfId="0" applyFont="1" applyBorder="1" applyAlignment="1">
      <alignment/>
    </xf>
    <xf numFmtId="0" fontId="0" fillId="0" borderId="39"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0" xfId="0" applyFont="1" applyBorder="1" applyAlignment="1">
      <alignment horizontal="left" wrapText="1"/>
    </xf>
    <xf numFmtId="0" fontId="10" fillId="0" borderId="16" xfId="0" applyFont="1" applyBorder="1" applyAlignment="1">
      <alignment wrapText="1"/>
    </xf>
    <xf numFmtId="0" fontId="10" fillId="0" borderId="16" xfId="0" applyFont="1" applyBorder="1" applyAlignment="1">
      <alignment horizontal="left" wrapText="1"/>
    </xf>
    <xf numFmtId="0" fontId="0" fillId="0" borderId="31" xfId="0" applyBorder="1" applyAlignment="1">
      <alignment/>
    </xf>
    <xf numFmtId="0" fontId="0" fillId="0" borderId="32" xfId="0" applyBorder="1" applyAlignment="1">
      <alignment/>
    </xf>
    <xf numFmtId="0" fontId="0" fillId="0" borderId="46" xfId="0" applyBorder="1" applyAlignment="1">
      <alignment/>
    </xf>
    <xf numFmtId="0" fontId="0" fillId="0" borderId="16" xfId="0" applyBorder="1" applyAlignment="1">
      <alignment/>
    </xf>
    <xf numFmtId="0" fontId="0" fillId="0" borderId="30" xfId="0" applyBorder="1" applyAlignment="1">
      <alignment/>
    </xf>
    <xf numFmtId="0" fontId="10" fillId="0" borderId="0" xfId="0" applyFont="1" applyBorder="1" applyAlignment="1">
      <alignment/>
    </xf>
    <xf numFmtId="0" fontId="0" fillId="0" borderId="0" xfId="0" applyBorder="1" applyAlignment="1">
      <alignment horizontal="center"/>
    </xf>
    <xf numFmtId="172" fontId="0" fillId="32" borderId="47" xfId="60" applyNumberFormat="1" applyFont="1" applyFill="1" applyBorder="1" applyAlignment="1" applyProtection="1">
      <alignment/>
      <protection locked="0"/>
    </xf>
    <xf numFmtId="172" fontId="0" fillId="32" borderId="48" xfId="60" applyNumberFormat="1" applyFont="1" applyFill="1" applyBorder="1" applyAlignment="1" applyProtection="1">
      <alignment/>
      <protection locked="0"/>
    </xf>
    <xf numFmtId="172" fontId="0" fillId="32" borderId="49" xfId="60" applyNumberFormat="1" applyFont="1" applyFill="1" applyBorder="1" applyAlignment="1" applyProtection="1">
      <alignment/>
      <protection locked="0"/>
    </xf>
    <xf numFmtId="172" fontId="0" fillId="32" borderId="50" xfId="60" applyNumberFormat="1" applyFont="1" applyFill="1" applyBorder="1" applyAlignment="1" applyProtection="1">
      <alignment/>
      <protection locked="0"/>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43" xfId="0" applyBorder="1" applyAlignment="1">
      <alignment/>
    </xf>
    <xf numFmtId="0" fontId="0" fillId="0" borderId="21" xfId="0" applyBorder="1" applyAlignment="1">
      <alignment/>
    </xf>
    <xf numFmtId="0" fontId="0" fillId="0" borderId="21" xfId="0" applyFill="1" applyBorder="1" applyAlignment="1">
      <alignment/>
    </xf>
    <xf numFmtId="0" fontId="0" fillId="0" borderId="22" xfId="0" applyBorder="1" applyAlignment="1">
      <alignment/>
    </xf>
    <xf numFmtId="0" fontId="0" fillId="0" borderId="0" xfId="0" applyFill="1" applyBorder="1" applyAlignment="1">
      <alignment/>
    </xf>
    <xf numFmtId="0" fontId="0" fillId="0" borderId="37" xfId="0" applyBorder="1" applyAlignment="1">
      <alignment/>
    </xf>
    <xf numFmtId="0" fontId="0"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168" fontId="0" fillId="0" borderId="0" xfId="42" applyNumberFormat="1" applyFont="1" applyFill="1" applyBorder="1" applyAlignment="1" applyProtection="1">
      <alignment/>
      <protection/>
    </xf>
    <xf numFmtId="0" fontId="10" fillId="0" borderId="0" xfId="0" applyFont="1" applyAlignment="1">
      <alignment wrapText="1"/>
    </xf>
    <xf numFmtId="168" fontId="10" fillId="0" borderId="0" xfId="42" applyNumberFormat="1" applyFont="1" applyFill="1" applyBorder="1" applyAlignment="1" applyProtection="1">
      <alignment horizontal="center" wrapText="1"/>
      <protection/>
    </xf>
    <xf numFmtId="0" fontId="0" fillId="34" borderId="0" xfId="0" applyFont="1" applyFill="1" applyAlignment="1">
      <alignment/>
    </xf>
    <xf numFmtId="168" fontId="0" fillId="34" borderId="0" xfId="42" applyNumberFormat="1" applyFont="1" applyFill="1" applyBorder="1" applyAlignment="1" applyProtection="1">
      <alignment/>
      <protection/>
    </xf>
    <xf numFmtId="173" fontId="0" fillId="0" borderId="0" xfId="0" applyNumberFormat="1" applyFont="1" applyAlignment="1">
      <alignment horizontal="right"/>
    </xf>
    <xf numFmtId="173"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Alignment="1">
      <alignment/>
    </xf>
    <xf numFmtId="168" fontId="0" fillId="0" borderId="0" xfId="0" applyNumberFormat="1" applyFont="1" applyAlignment="1">
      <alignment/>
    </xf>
    <xf numFmtId="0" fontId="0" fillId="0" borderId="0" xfId="0" applyFont="1" applyAlignment="1">
      <alignment horizontal="left" indent="1"/>
    </xf>
    <xf numFmtId="0" fontId="0" fillId="0" borderId="21" xfId="0" applyFont="1" applyBorder="1" applyAlignment="1">
      <alignment/>
    </xf>
    <xf numFmtId="1" fontId="0" fillId="0" borderId="21" xfId="0" applyNumberFormat="1" applyFont="1" applyBorder="1" applyAlignment="1">
      <alignment/>
    </xf>
    <xf numFmtId="168" fontId="0" fillId="0" borderId="21" xfId="42" applyNumberFormat="1" applyFont="1" applyFill="1" applyBorder="1" applyAlignment="1" applyProtection="1">
      <alignment/>
      <protection/>
    </xf>
    <xf numFmtId="0" fontId="0" fillId="0" borderId="0" xfId="0" applyFont="1" applyFill="1" applyAlignment="1">
      <alignment/>
    </xf>
    <xf numFmtId="0" fontId="1" fillId="0" borderId="0" xfId="0" applyFont="1" applyAlignment="1">
      <alignment vertical="top"/>
    </xf>
    <xf numFmtId="0" fontId="1" fillId="0" borderId="0" xfId="0" applyFont="1" applyAlignment="1">
      <alignment horizontal="right" vertical="top" wrapText="1"/>
    </xf>
    <xf numFmtId="168" fontId="1" fillId="0" borderId="0" xfId="0" applyNumberFormat="1" applyFont="1" applyAlignment="1">
      <alignment vertical="top"/>
    </xf>
    <xf numFmtId="0" fontId="15"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5" fillId="0" borderId="18" xfId="0" applyFont="1" applyBorder="1" applyAlignment="1">
      <alignment/>
    </xf>
    <xf numFmtId="0" fontId="15" fillId="0" borderId="0" xfId="0" applyFont="1" applyBorder="1" applyAlignment="1">
      <alignment horizontal="left"/>
    </xf>
    <xf numFmtId="0" fontId="15" fillId="0" borderId="51" xfId="0" applyFont="1" applyBorder="1" applyAlignment="1">
      <alignment/>
    </xf>
    <xf numFmtId="0" fontId="15" fillId="0" borderId="19" xfId="0" applyFont="1" applyBorder="1" applyAlignment="1">
      <alignment/>
    </xf>
    <xf numFmtId="0" fontId="15" fillId="0" borderId="35" xfId="0" applyFont="1" applyBorder="1" applyAlignment="1">
      <alignment/>
    </xf>
    <xf numFmtId="0" fontId="15" fillId="0" borderId="25" xfId="0" applyFont="1" applyBorder="1" applyAlignment="1">
      <alignment/>
    </xf>
    <xf numFmtId="0" fontId="15" fillId="0" borderId="24" xfId="0" applyFont="1" applyBorder="1" applyAlignment="1">
      <alignment/>
    </xf>
    <xf numFmtId="0" fontId="16" fillId="0" borderId="0" xfId="0" applyFont="1" applyAlignment="1">
      <alignment/>
    </xf>
    <xf numFmtId="0" fontId="17" fillId="0" borderId="0" xfId="0" applyFont="1" applyBorder="1" applyAlignment="1">
      <alignment horizontal="center"/>
    </xf>
    <xf numFmtId="0" fontId="15" fillId="0" borderId="51" xfId="0" applyFont="1" applyBorder="1" applyAlignment="1">
      <alignment horizontal="left"/>
    </xf>
    <xf numFmtId="0" fontId="15" fillId="35" borderId="52" xfId="0" applyFont="1" applyFill="1" applyBorder="1" applyAlignment="1">
      <alignment/>
    </xf>
    <xf numFmtId="0" fontId="15" fillId="35" borderId="0" xfId="0" applyFont="1" applyFill="1" applyBorder="1" applyAlignment="1">
      <alignment horizontal="center"/>
    </xf>
    <xf numFmtId="0" fontId="15" fillId="35" borderId="53" xfId="0" applyFont="1" applyFill="1" applyBorder="1" applyAlignment="1">
      <alignment horizontal="left"/>
    </xf>
    <xf numFmtId="0" fontId="15" fillId="0" borderId="0" xfId="0" applyFont="1" applyBorder="1" applyAlignment="1">
      <alignment horizontal="left" wrapText="1"/>
    </xf>
    <xf numFmtId="0" fontId="15" fillId="35" borderId="54" xfId="0" applyFont="1" applyFill="1" applyBorder="1" applyAlignment="1">
      <alignment horizontal="center"/>
    </xf>
    <xf numFmtId="0" fontId="18" fillId="0" borderId="51" xfId="0" applyFont="1" applyBorder="1" applyAlignment="1">
      <alignment/>
    </xf>
    <xf numFmtId="0" fontId="15" fillId="0" borderId="55" xfId="0" applyFont="1" applyBorder="1" applyAlignment="1">
      <alignment/>
    </xf>
    <xf numFmtId="14" fontId="15" fillId="35" borderId="52" xfId="0" applyNumberFormat="1" applyFont="1" applyFill="1" applyBorder="1" applyAlignment="1">
      <alignment/>
    </xf>
    <xf numFmtId="169" fontId="1" fillId="0" borderId="27" xfId="42" applyNumberFormat="1" applyFont="1" applyFill="1" applyBorder="1" applyAlignment="1" applyProtection="1">
      <alignment horizontal="right"/>
      <protection locked="0"/>
    </xf>
    <xf numFmtId="168" fontId="1" fillId="35" borderId="27" xfId="42" applyNumberFormat="1" applyFont="1" applyFill="1" applyBorder="1" applyAlignment="1" applyProtection="1">
      <alignment horizontal="right"/>
      <protection locked="0"/>
    </xf>
    <xf numFmtId="168" fontId="0" fillId="0" borderId="27" xfId="42" applyNumberFormat="1" applyFont="1" applyFill="1" applyBorder="1" applyAlignment="1" applyProtection="1">
      <alignment/>
      <protection locked="0"/>
    </xf>
    <xf numFmtId="0" fontId="19" fillId="0" borderId="0" xfId="0" applyFont="1" applyAlignment="1">
      <alignment/>
    </xf>
    <xf numFmtId="0" fontId="15" fillId="0" borderId="51" xfId="0" applyFont="1" applyBorder="1" applyAlignment="1">
      <alignment/>
    </xf>
    <xf numFmtId="0" fontId="18" fillId="0" borderId="56" xfId="0" applyFont="1" applyBorder="1" applyAlignment="1">
      <alignment horizontal="left"/>
    </xf>
    <xf numFmtId="0" fontId="15" fillId="35" borderId="57" xfId="0" applyFont="1" applyFill="1" applyBorder="1" applyAlignment="1">
      <alignment horizontal="center" vertical="center"/>
    </xf>
    <xf numFmtId="168" fontId="0" fillId="3" borderId="0" xfId="42" applyNumberFormat="1" applyFont="1" applyFill="1" applyBorder="1" applyAlignment="1" applyProtection="1">
      <alignment/>
      <protection/>
    </xf>
    <xf numFmtId="0" fontId="22" fillId="0" borderId="0" xfId="0" applyFont="1" applyAlignment="1">
      <alignment/>
    </xf>
    <xf numFmtId="0" fontId="0" fillId="0" borderId="0" xfId="0" applyBorder="1" applyAlignment="1">
      <alignment/>
    </xf>
    <xf numFmtId="0" fontId="17" fillId="0" borderId="0" xfId="0" applyFont="1" applyBorder="1" applyAlignment="1">
      <alignment/>
    </xf>
    <xf numFmtId="0" fontId="15" fillId="0" borderId="58" xfId="0" applyFont="1" applyBorder="1" applyAlignment="1">
      <alignment/>
    </xf>
    <xf numFmtId="0" fontId="18" fillId="0" borderId="59" xfId="0" applyFont="1" applyBorder="1" applyAlignment="1">
      <alignment/>
    </xf>
    <xf numFmtId="0" fontId="15" fillId="0" borderId="59" xfId="0" applyFont="1" applyBorder="1" applyAlignment="1">
      <alignment/>
    </xf>
    <xf numFmtId="0" fontId="15" fillId="0" borderId="60" xfId="0" applyFont="1" applyBorder="1" applyAlignment="1">
      <alignment/>
    </xf>
    <xf numFmtId="0" fontId="15" fillId="0" borderId="61" xfId="0" applyFont="1" applyBorder="1" applyAlignment="1">
      <alignment/>
    </xf>
    <xf numFmtId="0" fontId="15" fillId="0" borderId="62" xfId="0" applyFont="1" applyBorder="1" applyAlignment="1">
      <alignment/>
    </xf>
    <xf numFmtId="0" fontId="20" fillId="0" borderId="0" xfId="0" applyFont="1" applyBorder="1" applyAlignment="1">
      <alignment/>
    </xf>
    <xf numFmtId="0" fontId="21" fillId="0" borderId="0" xfId="0" applyFont="1" applyBorder="1" applyAlignment="1">
      <alignment/>
    </xf>
    <xf numFmtId="0" fontId="0" fillId="0" borderId="0" xfId="0" applyFont="1" applyBorder="1" applyAlignment="1">
      <alignment/>
    </xf>
    <xf numFmtId="0" fontId="0" fillId="0" borderId="62" xfId="0" applyFont="1" applyBorder="1" applyAlignment="1">
      <alignment/>
    </xf>
    <xf numFmtId="0" fontId="18" fillId="0" borderId="0" xfId="0" applyFont="1" applyBorder="1" applyAlignment="1">
      <alignment/>
    </xf>
    <xf numFmtId="0" fontId="17" fillId="0" borderId="61" xfId="0" applyFont="1" applyBorder="1" applyAlignment="1">
      <alignment/>
    </xf>
    <xf numFmtId="0" fontId="17" fillId="0" borderId="63" xfId="0" applyFont="1" applyBorder="1" applyAlignment="1">
      <alignment/>
    </xf>
    <xf numFmtId="0" fontId="17" fillId="0" borderId="64" xfId="0" applyFont="1" applyBorder="1" applyAlignment="1">
      <alignment/>
    </xf>
    <xf numFmtId="0" fontId="16" fillId="0" borderId="64" xfId="0" applyFont="1" applyBorder="1" applyAlignment="1">
      <alignment/>
    </xf>
    <xf numFmtId="0" fontId="17" fillId="0" borderId="65" xfId="0" applyFont="1" applyBorder="1" applyAlignment="1">
      <alignment/>
    </xf>
    <xf numFmtId="0" fontId="15" fillId="35" borderId="66" xfId="0" applyFont="1" applyFill="1" applyBorder="1" applyAlignment="1">
      <alignment horizontal="left"/>
    </xf>
    <xf numFmtId="0" fontId="16" fillId="0" borderId="60" xfId="0" applyFont="1" applyBorder="1" applyAlignment="1">
      <alignment/>
    </xf>
    <xf numFmtId="0" fontId="16" fillId="0" borderId="62" xfId="0" applyFont="1" applyBorder="1" applyAlignment="1">
      <alignment/>
    </xf>
    <xf numFmtId="0" fontId="16" fillId="0" borderId="61" xfId="0" applyFont="1" applyBorder="1" applyAlignment="1">
      <alignment/>
    </xf>
    <xf numFmtId="0" fontId="16" fillId="0" borderId="0" xfId="0" applyFont="1" applyBorder="1" applyAlignment="1">
      <alignment/>
    </xf>
    <xf numFmtId="0" fontId="15" fillId="0" borderId="61" xfId="0" applyFont="1" applyBorder="1" applyAlignment="1">
      <alignment horizontal="left" wrapText="1"/>
    </xf>
    <xf numFmtId="0" fontId="15" fillId="0" borderId="62" xfId="0" applyFont="1" applyBorder="1" applyAlignment="1">
      <alignment horizontal="left" wrapText="1"/>
    </xf>
    <xf numFmtId="0" fontId="16" fillId="0" borderId="63" xfId="0" applyFont="1" applyBorder="1" applyAlignment="1">
      <alignment/>
    </xf>
    <xf numFmtId="0" fontId="17" fillId="0" borderId="64" xfId="0" applyFont="1" applyBorder="1" applyAlignment="1">
      <alignment horizontal="center"/>
    </xf>
    <xf numFmtId="0" fontId="16" fillId="0" borderId="65" xfId="0" applyFont="1" applyBorder="1" applyAlignment="1">
      <alignment/>
    </xf>
    <xf numFmtId="0" fontId="16" fillId="0" borderId="61" xfId="0" applyFont="1" applyBorder="1" applyAlignment="1">
      <alignment horizontal="left"/>
    </xf>
    <xf numFmtId="0" fontId="16" fillId="0" borderId="67" xfId="0" applyFont="1" applyBorder="1" applyAlignment="1">
      <alignment/>
    </xf>
    <xf numFmtId="0" fontId="17" fillId="0" borderId="62" xfId="0" applyFont="1" applyBorder="1" applyAlignment="1">
      <alignment horizontal="center"/>
    </xf>
    <xf numFmtId="0" fontId="17" fillId="0" borderId="62" xfId="0" applyFont="1" applyBorder="1" applyAlignment="1">
      <alignment/>
    </xf>
    <xf numFmtId="9" fontId="0" fillId="36" borderId="47" xfId="60" applyFont="1" applyFill="1" applyBorder="1" applyAlignment="1" applyProtection="1">
      <alignment/>
      <protection/>
    </xf>
    <xf numFmtId="167" fontId="10" fillId="0" borderId="0" xfId="42" applyFont="1" applyFill="1" applyBorder="1" applyAlignment="1" applyProtection="1">
      <alignment/>
      <protection/>
    </xf>
    <xf numFmtId="0" fontId="23" fillId="0" borderId="11" xfId="0" applyFont="1" applyBorder="1" applyAlignment="1">
      <alignment/>
    </xf>
    <xf numFmtId="0" fontId="0" fillId="0" borderId="0" xfId="0" applyFill="1" applyBorder="1" applyAlignment="1">
      <alignment/>
    </xf>
    <xf numFmtId="0" fontId="11" fillId="0" borderId="0" xfId="0" applyFont="1" applyBorder="1" applyAlignment="1">
      <alignment/>
    </xf>
    <xf numFmtId="0" fontId="10" fillId="35" borderId="11" xfId="0" applyFont="1" applyFill="1" applyBorder="1" applyAlignment="1">
      <alignment/>
    </xf>
    <xf numFmtId="0" fontId="17" fillId="0" borderId="0" xfId="0" applyFont="1" applyAlignment="1">
      <alignment/>
    </xf>
    <xf numFmtId="0" fontId="10" fillId="37" borderId="0" xfId="0" applyFont="1" applyFill="1" applyAlignment="1">
      <alignment/>
    </xf>
    <xf numFmtId="0" fontId="15" fillId="0" borderId="0" xfId="57" applyFont="1">
      <alignment/>
      <protection/>
    </xf>
    <xf numFmtId="0" fontId="15" fillId="0" borderId="68" xfId="57" applyFont="1" applyBorder="1">
      <alignment/>
      <protection/>
    </xf>
    <xf numFmtId="0" fontId="15" fillId="0" borderId="0" xfId="57" applyFont="1" applyBorder="1">
      <alignment/>
      <protection/>
    </xf>
    <xf numFmtId="0" fontId="15" fillId="0" borderId="0" xfId="57" applyFont="1" applyBorder="1" applyAlignment="1">
      <alignment horizontal="center"/>
      <protection/>
    </xf>
    <xf numFmtId="0" fontId="15" fillId="0" borderId="0" xfId="57" applyFont="1" applyBorder="1" applyAlignment="1">
      <alignment/>
      <protection/>
    </xf>
    <xf numFmtId="0" fontId="15" fillId="0" borderId="58" xfId="57" applyFont="1" applyBorder="1">
      <alignment/>
      <protection/>
    </xf>
    <xf numFmtId="0" fontId="15" fillId="0" borderId="59" xfId="57" applyFont="1" applyBorder="1">
      <alignment/>
      <protection/>
    </xf>
    <xf numFmtId="0" fontId="15" fillId="0" borderId="60" xfId="57" applyFont="1" applyBorder="1">
      <alignment/>
      <protection/>
    </xf>
    <xf numFmtId="0" fontId="15" fillId="0" borderId="0" xfId="57" applyFont="1" applyBorder="1" applyAlignment="1">
      <alignment horizontal="right"/>
      <protection/>
    </xf>
    <xf numFmtId="0" fontId="15" fillId="0" borderId="0" xfId="57" applyFont="1" applyBorder="1" applyAlignment="1">
      <alignment horizontal="left"/>
      <protection/>
    </xf>
    <xf numFmtId="0" fontId="15" fillId="0" borderId="61" xfId="57" applyFont="1" applyBorder="1">
      <alignment/>
      <protection/>
    </xf>
    <xf numFmtId="0" fontId="15" fillId="0" borderId="62" xfId="57" applyFont="1" applyBorder="1">
      <alignment/>
      <protection/>
    </xf>
    <xf numFmtId="0" fontId="15" fillId="35" borderId="68" xfId="57" applyFont="1" applyFill="1" applyBorder="1">
      <alignment/>
      <protection/>
    </xf>
    <xf numFmtId="0" fontId="15" fillId="0" borderId="63" xfId="57" applyFont="1" applyBorder="1">
      <alignment/>
      <protection/>
    </xf>
    <xf numFmtId="0" fontId="15" fillId="0" borderId="64" xfId="57" applyFont="1" applyBorder="1">
      <alignment/>
      <protection/>
    </xf>
    <xf numFmtId="0" fontId="15" fillId="0" borderId="65" xfId="57" applyFont="1" applyBorder="1">
      <alignment/>
      <protection/>
    </xf>
    <xf numFmtId="0" fontId="16" fillId="0" borderId="0" xfId="57" applyFont="1">
      <alignment/>
      <protection/>
    </xf>
    <xf numFmtId="0" fontId="15" fillId="0" borderId="0" xfId="57" applyFont="1" applyAlignment="1">
      <alignment horizontal="center"/>
      <protection/>
    </xf>
    <xf numFmtId="0" fontId="15" fillId="0" borderId="0" xfId="57" applyFont="1" quotePrefix="1">
      <alignment/>
      <protection/>
    </xf>
    <xf numFmtId="0" fontId="28" fillId="0" borderId="0" xfId="57" applyFont="1">
      <alignment/>
      <protection/>
    </xf>
    <xf numFmtId="9" fontId="1" fillId="35" borderId="27" xfId="60" applyNumberFormat="1" applyFont="1" applyFill="1" applyBorder="1" applyAlignment="1" applyProtection="1">
      <alignment horizontal="right"/>
      <protection locked="0"/>
    </xf>
    <xf numFmtId="168" fontId="0" fillId="38" borderId="0" xfId="42" applyNumberFormat="1" applyFont="1" applyFill="1" applyBorder="1" applyAlignment="1" applyProtection="1">
      <alignment/>
      <protection/>
    </xf>
    <xf numFmtId="0" fontId="1" fillId="0" borderId="0" xfId="0" applyFont="1" applyFill="1" applyBorder="1" applyAlignment="1">
      <alignment horizontal="left" wrapText="1"/>
    </xf>
    <xf numFmtId="0" fontId="15" fillId="35" borderId="69" xfId="0" applyFont="1" applyFill="1" applyBorder="1" applyAlignment="1">
      <alignment horizontal="center"/>
    </xf>
    <xf numFmtId="0" fontId="15" fillId="35" borderId="53" xfId="0" applyFont="1" applyFill="1" applyBorder="1" applyAlignment="1">
      <alignment horizontal="center"/>
    </xf>
    <xf numFmtId="0" fontId="1" fillId="0" borderId="0" xfId="0" applyFont="1" applyBorder="1" applyAlignment="1">
      <alignment horizontal="left" wrapText="1"/>
    </xf>
    <xf numFmtId="0" fontId="18" fillId="0" borderId="51" xfId="0" applyFont="1" applyBorder="1" applyAlignment="1">
      <alignment horizontal="left"/>
    </xf>
    <xf numFmtId="0" fontId="18" fillId="0" borderId="0" xfId="0" applyFont="1" applyBorder="1" applyAlignment="1">
      <alignment horizontal="left"/>
    </xf>
    <xf numFmtId="0" fontId="15" fillId="0" borderId="19" xfId="0" applyFont="1" applyBorder="1" applyAlignment="1">
      <alignment horizontal="left"/>
    </xf>
    <xf numFmtId="171" fontId="0" fillId="3" borderId="0" xfId="42" applyNumberFormat="1" applyFont="1" applyFill="1" applyBorder="1" applyAlignment="1" applyProtection="1">
      <alignment/>
      <protection/>
    </xf>
    <xf numFmtId="0" fontId="1" fillId="0" borderId="38" xfId="0" applyFont="1" applyBorder="1" applyAlignment="1">
      <alignment/>
    </xf>
    <xf numFmtId="0" fontId="1" fillId="0" borderId="0" xfId="0" applyFont="1" applyFill="1" applyBorder="1" applyAlignment="1">
      <alignment horizontal="left"/>
    </xf>
    <xf numFmtId="0" fontId="1" fillId="0" borderId="23" xfId="0" applyFont="1" applyBorder="1" applyAlignment="1">
      <alignment/>
    </xf>
    <xf numFmtId="0" fontId="1" fillId="0" borderId="15" xfId="0" applyFont="1" applyBorder="1" applyAlignment="1">
      <alignment/>
    </xf>
    <xf numFmtId="170" fontId="1" fillId="0" borderId="55" xfId="0" applyNumberFormat="1" applyFont="1" applyBorder="1" applyAlignment="1">
      <alignment/>
    </xf>
    <xf numFmtId="0" fontId="1" fillId="0" borderId="70" xfId="0" applyFont="1" applyBorder="1" applyAlignment="1">
      <alignment/>
    </xf>
    <xf numFmtId="0" fontId="1" fillId="0" borderId="71" xfId="0" applyFont="1" applyBorder="1" applyAlignment="1">
      <alignment/>
    </xf>
    <xf numFmtId="0" fontId="1" fillId="0" borderId="72" xfId="0" applyFont="1" applyFill="1" applyBorder="1" applyAlignment="1">
      <alignment/>
    </xf>
    <xf numFmtId="170" fontId="1" fillId="0" borderId="38" xfId="0" applyNumberFormat="1" applyFont="1" applyBorder="1" applyAlignment="1">
      <alignment/>
    </xf>
    <xf numFmtId="0" fontId="2" fillId="0" borderId="73" xfId="0" applyFont="1" applyBorder="1" applyAlignment="1">
      <alignment/>
    </xf>
    <xf numFmtId="0" fontId="3" fillId="0" borderId="15" xfId="0" applyFont="1" applyBorder="1" applyAlignment="1">
      <alignment horizontal="center"/>
    </xf>
    <xf numFmtId="168" fontId="1" fillId="0" borderId="27" xfId="42" applyNumberFormat="1" applyFont="1" applyFill="1" applyBorder="1" applyAlignment="1" applyProtection="1">
      <alignment horizontal="center"/>
      <protection/>
    </xf>
    <xf numFmtId="167" fontId="1" fillId="0" borderId="27" xfId="42" applyNumberFormat="1" applyFont="1" applyFill="1" applyBorder="1" applyAlignment="1" applyProtection="1">
      <alignment horizontal="center"/>
      <protection/>
    </xf>
    <xf numFmtId="171" fontId="0" fillId="0" borderId="27" xfId="42" applyNumberFormat="1" applyFont="1" applyFill="1" applyBorder="1" applyAlignment="1" applyProtection="1">
      <alignment horizontal="center"/>
      <protection locked="0"/>
    </xf>
    <xf numFmtId="0" fontId="1" fillId="0" borderId="74" xfId="0" applyFont="1" applyBorder="1" applyAlignment="1">
      <alignment/>
    </xf>
    <xf numFmtId="0" fontId="1" fillId="0" borderId="75" xfId="0" applyFont="1" applyBorder="1" applyAlignment="1">
      <alignment/>
    </xf>
    <xf numFmtId="0" fontId="2" fillId="0" borderId="11" xfId="0" applyFont="1" applyBorder="1" applyAlignment="1">
      <alignment/>
    </xf>
    <xf numFmtId="0" fontId="1" fillId="0" borderId="76" xfId="0" applyFont="1" applyBorder="1" applyAlignment="1">
      <alignment/>
    </xf>
    <xf numFmtId="0" fontId="29" fillId="0" borderId="0" xfId="0" applyFont="1" applyBorder="1" applyAlignment="1">
      <alignment/>
    </xf>
    <xf numFmtId="0" fontId="1" fillId="0" borderId="77" xfId="0" applyFont="1" applyBorder="1" applyAlignment="1">
      <alignment/>
    </xf>
    <xf numFmtId="0" fontId="0" fillId="0" borderId="13" xfId="0" applyFont="1" applyBorder="1" applyAlignment="1">
      <alignment horizontal="left" indent="1"/>
    </xf>
    <xf numFmtId="168" fontId="0" fillId="0" borderId="30" xfId="42" applyNumberFormat="1" applyFont="1" applyFill="1" applyBorder="1" applyAlignment="1" applyProtection="1">
      <alignment horizontal="center"/>
      <protection/>
    </xf>
    <xf numFmtId="169" fontId="0" fillId="0" borderId="16" xfId="42" applyNumberFormat="1" applyFont="1" applyFill="1" applyBorder="1" applyAlignment="1" applyProtection="1">
      <alignment horizontal="center"/>
      <protection/>
    </xf>
    <xf numFmtId="9" fontId="0" fillId="0" borderId="16" xfId="60" applyFont="1" applyFill="1" applyBorder="1" applyAlignment="1" applyProtection="1">
      <alignment horizontal="center"/>
      <protection/>
    </xf>
    <xf numFmtId="0" fontId="0" fillId="0" borderId="13" xfId="0" applyBorder="1" applyAlignment="1">
      <alignment horizontal="left" indent="1"/>
    </xf>
    <xf numFmtId="0" fontId="0" fillId="0" borderId="37" xfId="0" applyBorder="1" applyAlignment="1">
      <alignment horizontal="left" indent="1"/>
    </xf>
    <xf numFmtId="0" fontId="0" fillId="0" borderId="38" xfId="0" applyBorder="1" applyAlignment="1">
      <alignment horizontal="center"/>
    </xf>
    <xf numFmtId="171" fontId="0" fillId="38" borderId="0" xfId="42" applyNumberFormat="1" applyFont="1" applyFill="1" applyBorder="1" applyAlignment="1" applyProtection="1">
      <alignment/>
      <protection/>
    </xf>
    <xf numFmtId="168" fontId="1" fillId="0" borderId="78" xfId="42" applyNumberFormat="1" applyFont="1" applyFill="1" applyBorder="1" applyAlignment="1" applyProtection="1">
      <alignment horizontal="center"/>
      <protection/>
    </xf>
    <xf numFmtId="0" fontId="1" fillId="39" borderId="27" xfId="0" applyFont="1" applyFill="1" applyBorder="1" applyAlignment="1" applyProtection="1">
      <alignment/>
      <protection locked="0"/>
    </xf>
    <xf numFmtId="0" fontId="1" fillId="39" borderId="79" xfId="0" applyFont="1" applyFill="1" applyBorder="1" applyAlignment="1" applyProtection="1">
      <alignment/>
      <protection locked="0"/>
    </xf>
    <xf numFmtId="0" fontId="15" fillId="36" borderId="54" xfId="0" applyFont="1" applyFill="1" applyBorder="1" applyAlignment="1">
      <alignment horizontal="center"/>
    </xf>
    <xf numFmtId="0" fontId="15" fillId="36" borderId="54" xfId="0" applyFont="1" applyFill="1" applyBorder="1" applyAlignment="1">
      <alignment/>
    </xf>
    <xf numFmtId="0" fontId="15" fillId="0" borderId="0" xfId="57" applyFont="1" applyAlignment="1">
      <alignment vertical="top"/>
      <protection/>
    </xf>
    <xf numFmtId="0" fontId="1" fillId="0" borderId="0" xfId="0" applyFont="1" applyBorder="1" applyAlignment="1">
      <alignment wrapText="1"/>
    </xf>
    <xf numFmtId="2" fontId="0" fillId="0" borderId="0" xfId="0" applyNumberFormat="1" applyFont="1" applyAlignment="1">
      <alignment/>
    </xf>
    <xf numFmtId="216" fontId="0" fillId="0" borderId="0" xfId="0" applyNumberFormat="1" applyAlignment="1">
      <alignment/>
    </xf>
    <xf numFmtId="217" fontId="15" fillId="0" borderId="0" xfId="0" applyNumberFormat="1" applyFont="1" applyAlignment="1">
      <alignment horizontal="left" indent="4"/>
    </xf>
    <xf numFmtId="218" fontId="15" fillId="0" borderId="0" xfId="0" applyNumberFormat="1" applyFont="1" applyAlignment="1">
      <alignment horizontal="center"/>
    </xf>
    <xf numFmtId="0" fontId="1" fillId="0" borderId="27" xfId="42" applyNumberFormat="1" applyFont="1" applyFill="1" applyBorder="1" applyAlignment="1" applyProtection="1">
      <alignment/>
      <protection/>
    </xf>
    <xf numFmtId="0" fontId="15" fillId="0" borderId="59" xfId="0" applyFont="1" applyFill="1" applyBorder="1" applyAlignment="1">
      <alignment horizontal="center" vertical="center"/>
    </xf>
    <xf numFmtId="0" fontId="15" fillId="0" borderId="0" xfId="0" applyFont="1" applyFill="1" applyBorder="1" applyAlignment="1">
      <alignment/>
    </xf>
    <xf numFmtId="0" fontId="15" fillId="35" borderId="53" xfId="0" applyFont="1" applyFill="1" applyBorder="1" applyAlignment="1">
      <alignment horizontal="left"/>
    </xf>
    <xf numFmtId="0" fontId="15" fillId="35" borderId="0" xfId="0" applyFont="1" applyFill="1" applyBorder="1" applyAlignment="1">
      <alignment horizontal="left"/>
    </xf>
    <xf numFmtId="0" fontId="15" fillId="35" borderId="69" xfId="0" applyFont="1" applyFill="1" applyBorder="1" applyAlignment="1">
      <alignment horizontal="center"/>
    </xf>
    <xf numFmtId="0" fontId="15" fillId="35" borderId="53" xfId="0" applyFont="1" applyFill="1" applyBorder="1" applyAlignment="1">
      <alignment horizontal="center"/>
    </xf>
    <xf numFmtId="0" fontId="18" fillId="0" borderId="51" xfId="0" applyFont="1" applyBorder="1" applyAlignment="1">
      <alignment horizontal="left"/>
    </xf>
    <xf numFmtId="0" fontId="18" fillId="0" borderId="0" xfId="0" applyFont="1" applyBorder="1" applyAlignment="1">
      <alignment horizontal="left"/>
    </xf>
    <xf numFmtId="0" fontId="15" fillId="0" borderId="61" xfId="0" applyFont="1" applyBorder="1" applyAlignment="1">
      <alignment horizontal="left" wrapText="1"/>
    </xf>
    <xf numFmtId="0" fontId="15" fillId="0" borderId="61" xfId="0" applyFont="1" applyBorder="1" applyAlignment="1">
      <alignment horizontal="left"/>
    </xf>
    <xf numFmtId="0" fontId="15" fillId="0" borderId="0" xfId="0" applyFont="1" applyBorder="1" applyAlignment="1">
      <alignment horizontal="left"/>
    </xf>
    <xf numFmtId="0" fontId="17" fillId="0" borderId="0" xfId="0" applyFont="1" applyBorder="1" applyAlignment="1">
      <alignment horizontal="center"/>
    </xf>
    <xf numFmtId="0" fontId="15" fillId="0" borderId="0" xfId="0" applyFont="1" applyBorder="1" applyAlignment="1">
      <alignment horizontal="left" wrapText="1"/>
    </xf>
    <xf numFmtId="0" fontId="18" fillId="0" borderId="58" xfId="0" applyFont="1" applyBorder="1" applyAlignment="1">
      <alignment horizontal="center"/>
    </xf>
    <xf numFmtId="0" fontId="18" fillId="0" borderId="59" xfId="0" applyFont="1" applyBorder="1" applyAlignment="1">
      <alignment horizontal="center"/>
    </xf>
    <xf numFmtId="0" fontId="18" fillId="0" borderId="60" xfId="0" applyFont="1" applyBorder="1" applyAlignment="1">
      <alignment horizontal="center"/>
    </xf>
    <xf numFmtId="0" fontId="17" fillId="0" borderId="0" xfId="57" applyFont="1" applyAlignment="1">
      <alignment horizontal="center"/>
      <protection/>
    </xf>
    <xf numFmtId="0" fontId="2" fillId="32" borderId="80" xfId="0" applyFont="1" applyFill="1" applyBorder="1" applyAlignment="1" applyProtection="1">
      <alignment horizontal="left"/>
      <protection locked="0"/>
    </xf>
    <xf numFmtId="0" fontId="2" fillId="32" borderId="81" xfId="0" applyFont="1" applyFill="1" applyBorder="1" applyAlignment="1" applyProtection="1">
      <alignment horizontal="left"/>
      <protection locked="0"/>
    </xf>
    <xf numFmtId="0" fontId="2" fillId="32" borderId="82" xfId="0" applyFont="1" applyFill="1" applyBorder="1" applyAlignment="1" applyProtection="1">
      <alignment horizontal="left"/>
      <protection locked="0"/>
    </xf>
    <xf numFmtId="0" fontId="2" fillId="32" borderId="83" xfId="0" applyFont="1" applyFill="1" applyBorder="1" applyAlignment="1" applyProtection="1">
      <alignment horizontal="left"/>
      <protection locked="0"/>
    </xf>
    <xf numFmtId="0" fontId="2" fillId="32" borderId="84" xfId="0" applyFont="1" applyFill="1" applyBorder="1" applyAlignment="1" applyProtection="1">
      <alignment horizontal="left"/>
      <protection locked="0"/>
    </xf>
    <xf numFmtId="0" fontId="2" fillId="32" borderId="85" xfId="0" applyFont="1" applyFill="1" applyBorder="1" applyAlignment="1" applyProtection="1">
      <alignment horizontal="left"/>
      <protection locked="0"/>
    </xf>
    <xf numFmtId="0" fontId="2" fillId="0" borderId="86" xfId="0" applyFont="1" applyBorder="1" applyAlignment="1">
      <alignment horizontal="left" vertical="top"/>
    </xf>
    <xf numFmtId="0" fontId="2" fillId="0" borderId="87" xfId="0" applyFont="1" applyBorder="1" applyAlignment="1">
      <alignment horizontal="left" vertical="top"/>
    </xf>
    <xf numFmtId="0" fontId="2" fillId="0" borderId="88" xfId="0" applyFont="1" applyBorder="1" applyAlignment="1">
      <alignment horizontal="left" vertical="top"/>
    </xf>
    <xf numFmtId="0" fontId="3" fillId="0" borderId="19" xfId="0" applyFont="1" applyBorder="1" applyAlignment="1">
      <alignment horizontal="center"/>
    </xf>
    <xf numFmtId="0" fontId="1" fillId="35" borderId="0" xfId="0" applyFont="1" applyFill="1" applyBorder="1" applyAlignment="1">
      <alignment horizontal="center" wrapText="1"/>
    </xf>
    <xf numFmtId="0" fontId="1" fillId="36" borderId="0" xfId="0" applyFont="1" applyFill="1" applyBorder="1" applyAlignment="1">
      <alignment horizontal="center" wrapText="1"/>
    </xf>
    <xf numFmtId="0" fontId="1" fillId="0" borderId="0" xfId="0" applyFont="1" applyBorder="1" applyAlignment="1">
      <alignment horizontal="center"/>
    </xf>
    <xf numFmtId="0" fontId="1" fillId="0" borderId="19" xfId="0" applyFont="1" applyBorder="1" applyAlignment="1">
      <alignment horizontal="center"/>
    </xf>
    <xf numFmtId="0" fontId="1" fillId="0" borderId="56" xfId="0" applyFont="1" applyBorder="1" applyAlignment="1">
      <alignment horizontal="center"/>
    </xf>
    <xf numFmtId="0" fontId="2" fillId="0" borderId="21" xfId="0" applyFont="1" applyBorder="1" applyAlignment="1">
      <alignment horizontal="left" wrapText="1"/>
    </xf>
    <xf numFmtId="0" fontId="1" fillId="0" borderId="89" xfId="0" applyFont="1" applyBorder="1" applyAlignment="1">
      <alignment horizontal="center"/>
    </xf>
    <xf numFmtId="0" fontId="3" fillId="0" borderId="90" xfId="0" applyFont="1" applyBorder="1" applyAlignment="1">
      <alignment horizontal="center"/>
    </xf>
    <xf numFmtId="0" fontId="3" fillId="0" borderId="89" xfId="0" applyFont="1" applyBorder="1" applyAlignment="1">
      <alignment horizontal="center"/>
    </xf>
    <xf numFmtId="0" fontId="1" fillId="35" borderId="27" xfId="0" applyFont="1" applyFill="1" applyBorder="1" applyAlignment="1" applyProtection="1">
      <alignment horizontal="left"/>
      <protection locked="0"/>
    </xf>
    <xf numFmtId="0" fontId="2" fillId="0" borderId="91" xfId="0" applyFont="1" applyBorder="1" applyAlignment="1">
      <alignment horizontal="left"/>
    </xf>
    <xf numFmtId="0" fontId="3" fillId="0" borderId="92" xfId="0" applyFont="1" applyBorder="1" applyAlignment="1">
      <alignment horizontal="center"/>
    </xf>
    <xf numFmtId="0" fontId="3" fillId="0" borderId="0" xfId="0" applyFont="1" applyBorder="1" applyAlignment="1">
      <alignment horizontal="center"/>
    </xf>
    <xf numFmtId="0" fontId="1" fillId="0" borderId="84" xfId="0" applyFont="1" applyBorder="1" applyAlignment="1" applyProtection="1">
      <alignment horizontal="center"/>
      <protection locked="0"/>
    </xf>
    <xf numFmtId="14" fontId="1" fillId="35" borderId="27" xfId="0" applyNumberFormat="1" applyFont="1" applyFill="1" applyBorder="1" applyAlignment="1" applyProtection="1">
      <alignment horizontal="left"/>
      <protection locked="0"/>
    </xf>
    <xf numFmtId="166" fontId="1" fillId="0" borderId="27" xfId="0" applyNumberFormat="1"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32" borderId="27" xfId="0" applyFont="1" applyFill="1" applyBorder="1" applyAlignment="1" applyProtection="1">
      <alignment horizontal="left"/>
      <protection locked="0"/>
    </xf>
    <xf numFmtId="0" fontId="1" fillId="0" borderId="0" xfId="0" applyFont="1" applyBorder="1" applyAlignment="1">
      <alignment horizontal="left" wrapText="1"/>
    </xf>
    <xf numFmtId="9" fontId="1" fillId="35" borderId="93" xfId="60" applyNumberFormat="1" applyFont="1" applyFill="1" applyBorder="1" applyAlignment="1" applyProtection="1">
      <alignment horizontal="center"/>
      <protection locked="0"/>
    </xf>
    <xf numFmtId="0" fontId="2" fillId="32" borderId="87" xfId="0" applyFont="1" applyFill="1" applyBorder="1" applyAlignment="1" applyProtection="1">
      <alignment horizontal="left"/>
      <protection locked="0"/>
    </xf>
    <xf numFmtId="0" fontId="2" fillId="32" borderId="88" xfId="0" applyFont="1" applyFill="1" applyBorder="1" applyAlignment="1" applyProtection="1">
      <alignment horizontal="left"/>
      <protection locked="0"/>
    </xf>
    <xf numFmtId="0" fontId="1" fillId="0" borderId="0" xfId="0" applyFont="1" applyFill="1" applyBorder="1" applyAlignment="1">
      <alignment horizontal="left" wrapText="1"/>
    </xf>
    <xf numFmtId="0" fontId="1" fillId="0" borderId="0" xfId="0" applyFont="1" applyBorder="1" applyAlignment="1">
      <alignment horizontal="left" vertical="top"/>
    </xf>
    <xf numFmtId="0" fontId="0" fillId="0" borderId="84" xfId="0" applyFont="1" applyBorder="1" applyAlignment="1">
      <alignment horizontal="left"/>
    </xf>
    <xf numFmtId="175" fontId="10" fillId="35" borderId="11" xfId="42" applyNumberFormat="1" applyFont="1" applyFill="1" applyBorder="1" applyAlignment="1" applyProtection="1">
      <alignment horizontal="center"/>
      <protection/>
    </xf>
    <xf numFmtId="0" fontId="0" fillId="0" borderId="27" xfId="0" applyFont="1" applyBorder="1" applyAlignment="1">
      <alignment horizontal="left"/>
    </xf>
    <xf numFmtId="0" fontId="10" fillId="0" borderId="0" xfId="0" applyFont="1" applyBorder="1" applyAlignment="1">
      <alignment horizontal="left" wrapText="1"/>
    </xf>
    <xf numFmtId="0" fontId="0" fillId="0" borderId="0" xfId="0" applyFont="1" applyBorder="1" applyAlignment="1">
      <alignment horizontal="center"/>
    </xf>
    <xf numFmtId="0" fontId="10" fillId="0" borderId="39" xfId="0" applyFont="1" applyBorder="1" applyAlignment="1" applyProtection="1">
      <alignment horizontal="left"/>
      <protection/>
    </xf>
    <xf numFmtId="0" fontId="0" fillId="35" borderId="53" xfId="0" applyFill="1" applyBorder="1" applyAlignment="1">
      <alignment horizontal="center"/>
    </xf>
    <xf numFmtId="0" fontId="10" fillId="0" borderId="0" xfId="0" applyFont="1" applyBorder="1" applyAlignment="1">
      <alignment horizontal="center"/>
    </xf>
    <xf numFmtId="168" fontId="10" fillId="0" borderId="0" xfId="42" applyNumberFormat="1" applyFont="1" applyFill="1" applyBorder="1" applyAlignment="1" applyProtection="1">
      <alignment horizontal="center" wrapText="1"/>
      <protection/>
    </xf>
    <xf numFmtId="0" fontId="8" fillId="0" borderId="0" xfId="0" applyFont="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ater-boiling-test-wbt-data-calculation-sheet-v32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5</xdr:row>
      <xdr:rowOff>142875</xdr:rowOff>
    </xdr:from>
    <xdr:to>
      <xdr:col>44</xdr:col>
      <xdr:colOff>0</xdr:colOff>
      <xdr:row>7</xdr:row>
      <xdr:rowOff>171450</xdr:rowOff>
    </xdr:to>
    <xdr:sp>
      <xdr:nvSpPr>
        <xdr:cNvPr id="1" name="AutoShape 5"/>
        <xdr:cNvSpPr>
          <a:spLocks/>
        </xdr:cNvSpPr>
      </xdr:nvSpPr>
      <xdr:spPr>
        <a:xfrm>
          <a:off x="16535400" y="885825"/>
          <a:ext cx="0" cy="428625"/>
        </a:xfrm>
        <a:prstGeom prst="wedgeRectCallout">
          <a:avLst>
            <a:gd name="adj1" fmla="val -143504"/>
            <a:gd name="adj2" fmla="val 43476"/>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P and T at the start of simmer should be equal to the final hot start values for all pots.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5</xdr:row>
      <xdr:rowOff>142875</xdr:rowOff>
    </xdr:from>
    <xdr:to>
      <xdr:col>44</xdr:col>
      <xdr:colOff>0</xdr:colOff>
      <xdr:row>7</xdr:row>
      <xdr:rowOff>171450</xdr:rowOff>
    </xdr:to>
    <xdr:sp>
      <xdr:nvSpPr>
        <xdr:cNvPr id="1" name="AutoShape 6"/>
        <xdr:cNvSpPr>
          <a:spLocks/>
        </xdr:cNvSpPr>
      </xdr:nvSpPr>
      <xdr:spPr>
        <a:xfrm>
          <a:off x="16630650" y="885825"/>
          <a:ext cx="0" cy="428625"/>
        </a:xfrm>
        <a:prstGeom prst="wedgeRectCallout">
          <a:avLst>
            <a:gd name="adj1" fmla="val -143504"/>
            <a:gd name="adj2" fmla="val 43476"/>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P and T at the start of simmer should be equal to the final hot start values for all pots.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5</xdr:row>
      <xdr:rowOff>142875</xdr:rowOff>
    </xdr:from>
    <xdr:to>
      <xdr:col>44</xdr:col>
      <xdr:colOff>0</xdr:colOff>
      <xdr:row>7</xdr:row>
      <xdr:rowOff>171450</xdr:rowOff>
    </xdr:to>
    <xdr:sp>
      <xdr:nvSpPr>
        <xdr:cNvPr id="1" name="AutoShape 5"/>
        <xdr:cNvSpPr>
          <a:spLocks/>
        </xdr:cNvSpPr>
      </xdr:nvSpPr>
      <xdr:spPr>
        <a:xfrm>
          <a:off x="16535400" y="885825"/>
          <a:ext cx="0" cy="428625"/>
        </a:xfrm>
        <a:prstGeom prst="wedgeRectCallout">
          <a:avLst>
            <a:gd name="adj1" fmla="val -143504"/>
            <a:gd name="adj2" fmla="val 43476"/>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800" b="0" i="0" u="none" baseline="0">
              <a:solidFill>
                <a:srgbClr val="000000"/>
              </a:solidFill>
              <a:latin typeface="Arial"/>
              <a:ea typeface="Arial"/>
              <a:cs typeface="Arial"/>
            </a:rPr>
            <a:t>P and T at the start of simmer should be equal to the final hot start values for all pots.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19</xdr:row>
      <xdr:rowOff>28575</xdr:rowOff>
    </xdr:from>
    <xdr:to>
      <xdr:col>20</xdr:col>
      <xdr:colOff>0</xdr:colOff>
      <xdr:row>31</xdr:row>
      <xdr:rowOff>0</xdr:rowOff>
    </xdr:to>
    <xdr:sp fLocksText="0">
      <xdr:nvSpPr>
        <xdr:cNvPr id="1" name="Text Box 1"/>
        <xdr:cNvSpPr txBox="1">
          <a:spLocks noChangeArrowheads="1"/>
        </xdr:cNvSpPr>
      </xdr:nvSpPr>
      <xdr:spPr>
        <a:xfrm>
          <a:off x="5219700" y="3619500"/>
          <a:ext cx="2667000" cy="2057400"/>
        </a:xfrm>
        <a:prstGeom prst="rect">
          <a:avLst/>
        </a:prstGeom>
        <a:noFill/>
        <a:ln w="9360"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The Delmhorst J-2000 moisture analyzer measures fuel moisture on a dry basis.  To find moisture on a wet basis, use the following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does this calculation automatically if a value is entered in the dry-basis space.  Output requires moisture content on a wet basis, so the conversion is very important.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B120"/>
  <sheetViews>
    <sheetView showGridLines="0" showZeros="0" tabSelected="1" view="pageBreakPreview" zoomScale="85" zoomScaleNormal="75" zoomScaleSheetLayoutView="85" zoomScalePageLayoutView="0" workbookViewId="0" topLeftCell="A1">
      <selection activeCell="L22" sqref="L22"/>
    </sheetView>
  </sheetViews>
  <sheetFormatPr defaultColWidth="9.140625" defaultRowHeight="12.75"/>
  <cols>
    <col min="1" max="1" width="4.00390625" style="243" customWidth="1"/>
    <col min="2" max="2" width="27.421875" style="243" customWidth="1"/>
    <col min="3" max="3" width="20.7109375" style="243" customWidth="1"/>
    <col min="4" max="4" width="36.00390625" style="243" customWidth="1"/>
    <col min="5" max="6" width="9.140625" style="243" customWidth="1"/>
    <col min="7" max="7" width="2.7109375" style="243" customWidth="1"/>
    <col min="8" max="8" width="2.8515625" style="243" customWidth="1"/>
    <col min="9" max="9" width="25.140625" style="243" customWidth="1"/>
    <col min="10" max="10" width="7.57421875" style="243" customWidth="1"/>
    <col min="11" max="11" width="8.57421875" style="243" customWidth="1"/>
    <col min="12" max="12" width="20.7109375" style="243" customWidth="1"/>
    <col min="13" max="13" width="17.00390625" style="243" customWidth="1"/>
    <col min="14" max="14" width="5.57421875" style="243" customWidth="1"/>
    <col min="15" max="15" width="13.140625" style="243" customWidth="1"/>
    <col min="16" max="16384" width="9.140625" style="243" customWidth="1"/>
  </cols>
  <sheetData>
    <row r="1" spans="2:8" ht="38.25" customHeight="1" thickBot="1">
      <c r="B1" s="272" t="s">
        <v>748</v>
      </c>
      <c r="H1" s="311" t="str">
        <f>"Version "&amp;version</f>
        <v>Version 4.1.2</v>
      </c>
    </row>
    <row r="2" spans="2:14" ht="15.75" customHeight="1">
      <c r="B2" s="269" t="s">
        <v>716</v>
      </c>
      <c r="C2" s="262"/>
      <c r="D2" s="262"/>
      <c r="E2" s="246"/>
      <c r="F2" s="244"/>
      <c r="G2" s="275"/>
      <c r="H2" s="276" t="s">
        <v>717</v>
      </c>
      <c r="I2" s="277"/>
      <c r="J2" s="277"/>
      <c r="K2" s="277"/>
      <c r="L2" s="277"/>
      <c r="M2" s="277"/>
      <c r="N2" s="278"/>
    </row>
    <row r="3" spans="2:14" ht="26.25" customHeight="1">
      <c r="B3" s="255" t="s">
        <v>705</v>
      </c>
      <c r="C3" s="260"/>
      <c r="D3" s="257"/>
      <c r="E3" s="249"/>
      <c r="F3" s="244"/>
      <c r="G3" s="279"/>
      <c r="H3" s="245" t="s">
        <v>718</v>
      </c>
      <c r="I3" s="245"/>
      <c r="J3" s="385"/>
      <c r="K3" s="385"/>
      <c r="L3" s="385"/>
      <c r="M3" s="385"/>
      <c r="N3" s="280"/>
    </row>
    <row r="4" spans="2:14" ht="21" customHeight="1">
      <c r="B4" s="268" t="s">
        <v>709</v>
      </c>
      <c r="C4" s="256"/>
      <c r="D4" s="244"/>
      <c r="E4" s="249"/>
      <c r="F4" s="244"/>
      <c r="G4" s="279"/>
      <c r="H4" s="245" t="s">
        <v>726</v>
      </c>
      <c r="I4" s="245"/>
      <c r="J4" s="244">
        <v>1</v>
      </c>
      <c r="K4" s="244"/>
      <c r="L4" s="244"/>
      <c r="M4" s="244"/>
      <c r="N4" s="280"/>
    </row>
    <row r="5" spans="2:14" ht="22.5" customHeight="1">
      <c r="B5" s="268" t="s">
        <v>39</v>
      </c>
      <c r="C5" s="263"/>
      <c r="D5" s="244"/>
      <c r="E5" s="249"/>
      <c r="F5" s="244"/>
      <c r="G5" s="279"/>
      <c r="H5" s="245" t="s">
        <v>717</v>
      </c>
      <c r="I5" s="245"/>
      <c r="J5" s="244">
        <v>1</v>
      </c>
      <c r="K5" s="244"/>
      <c r="L5" s="244"/>
      <c r="M5" s="244"/>
      <c r="N5" s="280"/>
    </row>
    <row r="6" spans="2:14" ht="26.25" customHeight="1">
      <c r="B6" s="268" t="s">
        <v>708</v>
      </c>
      <c r="C6" s="385"/>
      <c r="D6" s="385"/>
      <c r="E6" s="249"/>
      <c r="F6" s="244"/>
      <c r="G6" s="279"/>
      <c r="H6" s="247" t="s">
        <v>729</v>
      </c>
      <c r="I6" s="247"/>
      <c r="J6" s="247"/>
      <c r="K6" s="247"/>
      <c r="L6" s="265"/>
      <c r="M6" s="244"/>
      <c r="N6" s="280"/>
    </row>
    <row r="7" spans="2:14" ht="19.5" customHeight="1">
      <c r="B7" s="255"/>
      <c r="C7" s="244"/>
      <c r="D7" s="244"/>
      <c r="E7" s="249"/>
      <c r="F7" s="244"/>
      <c r="G7" s="279"/>
      <c r="H7" s="247" t="s">
        <v>730</v>
      </c>
      <c r="I7" s="247"/>
      <c r="J7" s="247"/>
      <c r="K7" s="247"/>
      <c r="L7" s="265"/>
      <c r="M7" s="244"/>
      <c r="N7" s="280"/>
    </row>
    <row r="8" spans="2:14" ht="18.75" customHeight="1">
      <c r="B8" s="268" t="s">
        <v>707</v>
      </c>
      <c r="C8" s="385"/>
      <c r="D8" s="385"/>
      <c r="E8" s="249"/>
      <c r="F8" s="244"/>
      <c r="G8" s="279"/>
      <c r="H8" s="281" t="s">
        <v>744</v>
      </c>
      <c r="I8" s="282"/>
      <c r="J8" s="244"/>
      <c r="K8" s="244"/>
      <c r="L8" s="244"/>
      <c r="M8" s="244"/>
      <c r="N8" s="280"/>
    </row>
    <row r="9" spans="2:14" ht="17.25" customHeight="1">
      <c r="B9" s="268" t="s">
        <v>706</v>
      </c>
      <c r="C9" s="385"/>
      <c r="D9" s="385"/>
      <c r="E9" s="249"/>
      <c r="F9" s="244"/>
      <c r="G9" s="279"/>
      <c r="H9" s="245" t="s">
        <v>739</v>
      </c>
      <c r="I9" s="245"/>
      <c r="J9" s="244"/>
      <c r="K9" s="244"/>
      <c r="L9" s="266">
        <f>VLOOKUP(J4,FuelCalorific,8,FALSE)</f>
        <v>0</v>
      </c>
      <c r="M9" s="283" t="s">
        <v>734</v>
      </c>
      <c r="N9" s="284"/>
    </row>
    <row r="10" spans="2:14" ht="18" customHeight="1">
      <c r="B10" s="268" t="s">
        <v>710</v>
      </c>
      <c r="C10" s="385"/>
      <c r="D10" s="385"/>
      <c r="E10" s="249"/>
      <c r="F10" s="244"/>
      <c r="G10" s="279"/>
      <c r="H10" s="245" t="s">
        <v>740</v>
      </c>
      <c r="I10" s="245"/>
      <c r="J10" s="244"/>
      <c r="K10" s="244"/>
      <c r="L10" s="266">
        <f>VLOOKUP(J4,FuelCalorific,10,FALSE)</f>
        <v>0</v>
      </c>
      <c r="M10" s="283" t="s">
        <v>732</v>
      </c>
      <c r="N10" s="284"/>
    </row>
    <row r="11" spans="2:14" ht="17.25" customHeight="1">
      <c r="B11" s="248"/>
      <c r="C11" s="385"/>
      <c r="D11" s="385"/>
      <c r="E11" s="249"/>
      <c r="F11" s="244"/>
      <c r="G11" s="279"/>
      <c r="H11" s="244" t="s">
        <v>747</v>
      </c>
      <c r="I11" s="244"/>
      <c r="J11" s="244"/>
      <c r="K11" s="244"/>
      <c r="L11" s="266">
        <f>VLOOKUP(J4,FuelCalorific,11,FALSE)</f>
        <v>0</v>
      </c>
      <c r="M11" s="283" t="s">
        <v>732</v>
      </c>
      <c r="N11" s="284"/>
    </row>
    <row r="12" spans="2:14" ht="14.25" customHeight="1">
      <c r="B12" s="248"/>
      <c r="C12" s="385"/>
      <c r="D12" s="385"/>
      <c r="E12" s="249"/>
      <c r="F12" s="244"/>
      <c r="G12" s="279"/>
      <c r="H12" s="244"/>
      <c r="I12" s="244"/>
      <c r="J12" s="244"/>
      <c r="K12" s="244"/>
      <c r="L12" s="244"/>
      <c r="M12" s="244"/>
      <c r="N12" s="280"/>
    </row>
    <row r="13" spans="2:14" ht="14.25" customHeight="1" thickBot="1">
      <c r="B13" s="248"/>
      <c r="C13" s="385"/>
      <c r="D13" s="385"/>
      <c r="E13" s="249"/>
      <c r="F13" s="244"/>
      <c r="G13" s="279"/>
      <c r="H13" s="281" t="s">
        <v>742</v>
      </c>
      <c r="I13" s="282"/>
      <c r="J13" s="244"/>
      <c r="K13" s="244"/>
      <c r="L13" s="244"/>
      <c r="M13" s="244"/>
      <c r="N13" s="280"/>
    </row>
    <row r="14" spans="2:14" ht="14.25" customHeight="1" thickBot="1">
      <c r="B14" s="248"/>
      <c r="C14" s="386"/>
      <c r="D14" s="385"/>
      <c r="E14" s="249"/>
      <c r="F14" s="244"/>
      <c r="G14" s="279"/>
      <c r="H14" s="270"/>
      <c r="I14" s="244" t="s">
        <v>728</v>
      </c>
      <c r="J14" s="244"/>
      <c r="K14" s="244"/>
      <c r="L14" s="244"/>
      <c r="M14" s="283"/>
      <c r="N14" s="284"/>
    </row>
    <row r="15" spans="2:14" ht="15.75" customHeight="1">
      <c r="B15" s="261" t="s">
        <v>715</v>
      </c>
      <c r="C15" s="244"/>
      <c r="D15" s="244"/>
      <c r="E15" s="249"/>
      <c r="F15" s="244"/>
      <c r="G15" s="279"/>
      <c r="H15" s="383"/>
      <c r="I15" s="384"/>
      <c r="J15" s="384"/>
      <c r="K15" s="384"/>
      <c r="L15" s="384"/>
      <c r="M15" s="283"/>
      <c r="N15" s="284"/>
    </row>
    <row r="16" spans="2:14" ht="18.75" customHeight="1">
      <c r="B16" s="268" t="s">
        <v>714</v>
      </c>
      <c r="C16" s="260"/>
      <c r="D16" s="244"/>
      <c r="E16" s="249"/>
      <c r="F16" s="244"/>
      <c r="G16" s="279"/>
      <c r="H16" s="244"/>
      <c r="I16" s="244"/>
      <c r="J16" s="244"/>
      <c r="K16" s="244"/>
      <c r="L16" s="244"/>
      <c r="M16" s="283"/>
      <c r="N16" s="284"/>
    </row>
    <row r="17" spans="2:14" ht="20.25" customHeight="1">
      <c r="B17" s="268" t="s">
        <v>713</v>
      </c>
      <c r="C17" s="260"/>
      <c r="D17" s="244"/>
      <c r="E17" s="249"/>
      <c r="F17" s="244"/>
      <c r="G17" s="279"/>
      <c r="H17" s="244" t="s">
        <v>736</v>
      </c>
      <c r="I17" s="244"/>
      <c r="J17" s="244"/>
      <c r="K17" s="244"/>
      <c r="L17" s="265"/>
      <c r="M17" s="283" t="s">
        <v>741</v>
      </c>
      <c r="N17" s="284"/>
    </row>
    <row r="18" spans="2:14" ht="22.5" customHeight="1">
      <c r="B18" s="268" t="s">
        <v>712</v>
      </c>
      <c r="C18" s="260">
        <v>100</v>
      </c>
      <c r="D18" s="244"/>
      <c r="E18" s="249"/>
      <c r="F18" s="244"/>
      <c r="G18" s="279"/>
      <c r="H18" s="244" t="s">
        <v>745</v>
      </c>
      <c r="I18" s="244"/>
      <c r="J18" s="244"/>
      <c r="K18" s="244"/>
      <c r="L18" s="265"/>
      <c r="M18" s="283" t="s">
        <v>738</v>
      </c>
      <c r="N18" s="284"/>
    </row>
    <row r="19" spans="2:14" ht="25.5" customHeight="1">
      <c r="B19" s="389" t="s">
        <v>791</v>
      </c>
      <c r="C19" s="390"/>
      <c r="D19" s="390"/>
      <c r="E19" s="249"/>
      <c r="F19" s="244"/>
      <c r="G19" s="279"/>
      <c r="H19" s="244" t="s">
        <v>737</v>
      </c>
      <c r="I19" s="244"/>
      <c r="J19" s="244"/>
      <c r="K19" s="244"/>
      <c r="L19" s="244">
        <f>IF(ISBLANK(L18),MAX(L17-1320,0),L18)</f>
        <v>0</v>
      </c>
      <c r="M19" s="283" t="s">
        <v>738</v>
      </c>
      <c r="N19" s="284"/>
    </row>
    <row r="20" spans="2:14" ht="18" customHeight="1">
      <c r="B20" s="268" t="s">
        <v>848</v>
      </c>
      <c r="C20" s="374">
        <v>101.3</v>
      </c>
      <c r="D20" s="340"/>
      <c r="E20" s="249"/>
      <c r="F20" s="244"/>
      <c r="G20" s="279"/>
      <c r="H20" s="281" t="s">
        <v>743</v>
      </c>
      <c r="I20" s="282"/>
      <c r="J20" s="244"/>
      <c r="K20" s="244"/>
      <c r="L20" s="244"/>
      <c r="M20" s="244"/>
      <c r="N20" s="280"/>
    </row>
    <row r="21" spans="2:14" ht="18" customHeight="1">
      <c r="B21" s="268" t="s">
        <v>792</v>
      </c>
      <c r="C21" s="375"/>
      <c r="D21" s="244"/>
      <c r="E21" s="249"/>
      <c r="F21" s="244"/>
      <c r="G21" s="279"/>
      <c r="H21" s="245" t="s">
        <v>739</v>
      </c>
      <c r="I21" s="245"/>
      <c r="J21" s="244"/>
      <c r="K21" s="244"/>
      <c r="L21" s="266">
        <f>IF(ISBLANK(H14),L9,L17)</f>
        <v>0</v>
      </c>
      <c r="M21" s="283" t="s">
        <v>734</v>
      </c>
      <c r="N21" s="284"/>
    </row>
    <row r="22" spans="2:14" ht="15" customHeight="1">
      <c r="B22" s="268" t="s">
        <v>793</v>
      </c>
      <c r="C22" s="374"/>
      <c r="D22" s="340"/>
      <c r="E22" s="341"/>
      <c r="F22" s="244"/>
      <c r="G22" s="279"/>
      <c r="H22" s="245" t="s">
        <v>740</v>
      </c>
      <c r="I22" s="245"/>
      <c r="J22" s="244"/>
      <c r="K22" s="244"/>
      <c r="L22" s="266">
        <f>IF(ISBLANK(H14),L10,L19)</f>
        <v>0</v>
      </c>
      <c r="M22" s="283" t="s">
        <v>738</v>
      </c>
      <c r="N22" s="284"/>
    </row>
    <row r="23" spans="2:14" ht="15.75" customHeight="1">
      <c r="B23" s="339"/>
      <c r="C23" s="340"/>
      <c r="D23" s="340"/>
      <c r="E23" s="341"/>
      <c r="F23" s="244"/>
      <c r="G23" s="279"/>
      <c r="H23" s="244" t="s">
        <v>830</v>
      </c>
      <c r="I23" s="244"/>
      <c r="J23" s="244"/>
      <c r="K23" s="244"/>
      <c r="L23" s="356">
        <f>VLOOKUP(J4,FuelCalorific,12,FALSE)</f>
        <v>0</v>
      </c>
      <c r="M23" s="283" t="s">
        <v>831</v>
      </c>
      <c r="N23" s="280"/>
    </row>
    <row r="24" spans="2:14" ht="12.75" customHeight="1">
      <c r="B24" s="339" t="s">
        <v>789</v>
      </c>
      <c r="C24" s="340"/>
      <c r="D24" s="340"/>
      <c r="E24" s="341"/>
      <c r="F24" s="244"/>
      <c r="G24" s="279"/>
      <c r="H24" s="285" t="s">
        <v>751</v>
      </c>
      <c r="I24" s="244"/>
      <c r="J24" s="244"/>
      <c r="K24" s="244"/>
      <c r="L24" s="244"/>
      <c r="M24" s="244"/>
      <c r="N24" s="280"/>
    </row>
    <row r="25" spans="2:14" ht="15.75" customHeight="1">
      <c r="B25" s="336"/>
      <c r="C25" s="337"/>
      <c r="D25" s="337"/>
      <c r="E25" s="249"/>
      <c r="F25" s="244"/>
      <c r="G25" s="279"/>
      <c r="H25" s="244" t="s">
        <v>758</v>
      </c>
      <c r="I25" s="244"/>
      <c r="J25" s="244"/>
      <c r="K25" s="244"/>
      <c r="L25" s="244"/>
      <c r="M25" s="244"/>
      <c r="N25" s="280"/>
    </row>
    <row r="26" spans="2:14" ht="12.75" customHeight="1">
      <c r="B26" s="387"/>
      <c r="C26" s="388"/>
      <c r="D26" s="388"/>
      <c r="E26" s="249"/>
      <c r="F26" s="244"/>
      <c r="G26" s="279"/>
      <c r="H26" s="385"/>
      <c r="I26" s="385"/>
      <c r="J26" s="385"/>
      <c r="K26" s="385"/>
      <c r="L26" s="385"/>
      <c r="M26" s="385"/>
      <c r="N26" s="280"/>
    </row>
    <row r="27" spans="1:15" s="253" customFormat="1" ht="14.25" customHeight="1">
      <c r="A27" s="243"/>
      <c r="B27" s="336"/>
      <c r="C27" s="337"/>
      <c r="D27" s="337"/>
      <c r="E27" s="249"/>
      <c r="F27" s="244"/>
      <c r="G27" s="279"/>
      <c r="H27" s="385"/>
      <c r="I27" s="385"/>
      <c r="J27" s="385"/>
      <c r="K27" s="385"/>
      <c r="L27" s="385"/>
      <c r="M27" s="385"/>
      <c r="N27" s="280"/>
      <c r="O27" s="243"/>
    </row>
    <row r="28" spans="2:54" ht="13.5" customHeight="1">
      <c r="B28" s="387"/>
      <c r="C28" s="388"/>
      <c r="D28" s="388"/>
      <c r="E28" s="249"/>
      <c r="F28" s="244"/>
      <c r="G28" s="286"/>
      <c r="H28" s="385"/>
      <c r="I28" s="385"/>
      <c r="J28" s="385"/>
      <c r="K28" s="385"/>
      <c r="L28" s="385"/>
      <c r="M28" s="385"/>
      <c r="N28" s="280"/>
      <c r="O28" s="274"/>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row>
    <row r="29" spans="2:54" ht="16.5" customHeight="1">
      <c r="B29" s="387"/>
      <c r="C29" s="388"/>
      <c r="D29" s="388"/>
      <c r="E29" s="249"/>
      <c r="F29" s="244"/>
      <c r="G29" s="286"/>
      <c r="H29" s="385"/>
      <c r="I29" s="385"/>
      <c r="J29" s="385"/>
      <c r="K29" s="385"/>
      <c r="L29" s="385"/>
      <c r="M29" s="385"/>
      <c r="N29" s="280"/>
      <c r="O29" s="274"/>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row>
    <row r="30" spans="2:54" ht="15" customHeight="1" thickBot="1">
      <c r="B30" s="250"/>
      <c r="C30" s="251"/>
      <c r="D30" s="251"/>
      <c r="E30" s="252"/>
      <c r="F30" s="244"/>
      <c r="G30" s="287"/>
      <c r="H30" s="288"/>
      <c r="I30" s="288"/>
      <c r="J30" s="289"/>
      <c r="K30" s="289"/>
      <c r="L30" s="288"/>
      <c r="M30" s="288"/>
      <c r="N30" s="290"/>
      <c r="O30" s="274"/>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row>
    <row r="31" spans="6:54" ht="12.75" customHeight="1" thickBot="1">
      <c r="F31" s="253"/>
      <c r="G31" s="274"/>
      <c r="H31" s="274"/>
      <c r="I31" s="274"/>
      <c r="J31" s="253"/>
      <c r="K31" s="253"/>
      <c r="L31" s="394"/>
      <c r="M31" s="394"/>
      <c r="N31" s="394"/>
      <c r="O31" s="394"/>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row>
    <row r="32" spans="2:54" ht="15" customHeight="1">
      <c r="B32" s="396" t="s">
        <v>754</v>
      </c>
      <c r="C32" s="397"/>
      <c r="D32" s="397"/>
      <c r="E32" s="292"/>
      <c r="F32" s="253"/>
      <c r="G32" s="396" t="s">
        <v>756</v>
      </c>
      <c r="H32" s="397"/>
      <c r="I32" s="397"/>
      <c r="J32" s="397"/>
      <c r="K32" s="397"/>
      <c r="L32" s="397"/>
      <c r="M32" s="397"/>
      <c r="N32" s="398"/>
      <c r="O32" s="274"/>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row>
    <row r="33" spans="2:54" ht="11.25" customHeight="1">
      <c r="B33" s="392" t="s">
        <v>750</v>
      </c>
      <c r="C33" s="385"/>
      <c r="D33" s="385"/>
      <c r="E33" s="293"/>
      <c r="F33" s="253"/>
      <c r="G33" s="392" t="s">
        <v>750</v>
      </c>
      <c r="H33" s="393"/>
      <c r="I33" s="393"/>
      <c r="J33" s="388"/>
      <c r="K33" s="388"/>
      <c r="L33" s="388"/>
      <c r="M33" s="388"/>
      <c r="N33" s="303"/>
      <c r="O33" s="254"/>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row>
    <row r="34" spans="2:54" ht="12.75" customHeight="1">
      <c r="B34" s="392"/>
      <c r="C34" s="385"/>
      <c r="D34" s="385"/>
      <c r="E34" s="293"/>
      <c r="F34" s="253"/>
      <c r="G34" s="392"/>
      <c r="H34" s="393"/>
      <c r="I34" s="393"/>
      <c r="J34" s="388"/>
      <c r="K34" s="388"/>
      <c r="L34" s="388"/>
      <c r="M34" s="388"/>
      <c r="N34" s="304"/>
      <c r="O34" s="274"/>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row>
    <row r="35" spans="2:54" ht="15" customHeight="1">
      <c r="B35" s="294"/>
      <c r="C35" s="385"/>
      <c r="D35" s="385"/>
      <c r="E35" s="293"/>
      <c r="F35" s="253"/>
      <c r="G35" s="301"/>
      <c r="H35" s="247"/>
      <c r="I35" s="247"/>
      <c r="J35" s="388"/>
      <c r="K35" s="388"/>
      <c r="L35" s="388"/>
      <c r="M35" s="388"/>
      <c r="N35" s="304"/>
      <c r="O35" s="274"/>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row>
    <row r="36" spans="2:54" ht="15" customHeight="1">
      <c r="B36" s="294"/>
      <c r="C36" s="258"/>
      <c r="D36" s="258"/>
      <c r="E36" s="293"/>
      <c r="F36" s="253"/>
      <c r="G36" s="294"/>
      <c r="H36" s="244"/>
      <c r="I36" s="244"/>
      <c r="J36" s="388"/>
      <c r="K36" s="388"/>
      <c r="L36" s="388"/>
      <c r="M36" s="388"/>
      <c r="N36" s="304"/>
      <c r="O36" s="274"/>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row>
    <row r="37" spans="2:54" ht="9" customHeight="1">
      <c r="B37" s="294"/>
      <c r="C37" s="295"/>
      <c r="D37" s="295"/>
      <c r="E37" s="293"/>
      <c r="F37" s="253"/>
      <c r="G37" s="294"/>
      <c r="H37" s="244"/>
      <c r="I37" s="244"/>
      <c r="J37" s="295"/>
      <c r="K37" s="295"/>
      <c r="L37" s="254"/>
      <c r="M37" s="254"/>
      <c r="N37" s="303"/>
      <c r="O37" s="254"/>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row>
    <row r="38" spans="2:54" ht="15" customHeight="1">
      <c r="B38" s="391" t="s">
        <v>752</v>
      </c>
      <c r="C38" s="258"/>
      <c r="D38" s="258"/>
      <c r="E38" s="293"/>
      <c r="F38" s="253"/>
      <c r="G38" s="391" t="s">
        <v>752</v>
      </c>
      <c r="H38" s="395"/>
      <c r="I38" s="395"/>
      <c r="J38" s="388"/>
      <c r="K38" s="388"/>
      <c r="L38" s="388"/>
      <c r="M38" s="388"/>
      <c r="N38" s="304"/>
      <c r="O38" s="274"/>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row>
    <row r="39" spans="2:54" ht="15" customHeight="1">
      <c r="B39" s="391"/>
      <c r="C39" s="258"/>
      <c r="D39" s="258"/>
      <c r="E39" s="293"/>
      <c r="F39" s="253"/>
      <c r="G39" s="391"/>
      <c r="H39" s="395"/>
      <c r="I39" s="395"/>
      <c r="J39" s="388"/>
      <c r="K39" s="388"/>
      <c r="L39" s="388"/>
      <c r="M39" s="388"/>
      <c r="N39" s="304"/>
      <c r="O39" s="274"/>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row>
    <row r="40" spans="2:54" ht="15" customHeight="1">
      <c r="B40" s="294"/>
      <c r="C40" s="258"/>
      <c r="D40" s="258"/>
      <c r="E40" s="293"/>
      <c r="F40" s="253"/>
      <c r="G40" s="294"/>
      <c r="H40" s="244"/>
      <c r="I40" s="244"/>
      <c r="J40" s="388"/>
      <c r="K40" s="388"/>
      <c r="L40" s="388"/>
      <c r="M40" s="388"/>
      <c r="N40" s="304"/>
      <c r="O40" s="274"/>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row>
    <row r="41" spans="2:54" ht="9" customHeight="1">
      <c r="B41" s="294"/>
      <c r="C41" s="295"/>
      <c r="D41" s="295"/>
      <c r="E41" s="293"/>
      <c r="F41" s="253"/>
      <c r="G41" s="294"/>
      <c r="H41" s="244"/>
      <c r="I41" s="244"/>
      <c r="J41" s="295"/>
      <c r="K41" s="295"/>
      <c r="L41" s="254"/>
      <c r="M41" s="254"/>
      <c r="N41" s="303"/>
      <c r="O41" s="254"/>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row>
    <row r="42" spans="2:54" ht="15.75" customHeight="1">
      <c r="B42" s="391" t="s">
        <v>753</v>
      </c>
      <c r="C42" s="258"/>
      <c r="D42" s="258"/>
      <c r="E42" s="293"/>
      <c r="F42" s="253"/>
      <c r="G42" s="391" t="s">
        <v>753</v>
      </c>
      <c r="H42" s="395"/>
      <c r="I42" s="395"/>
      <c r="J42" s="388"/>
      <c r="K42" s="388"/>
      <c r="L42" s="388"/>
      <c r="M42" s="388"/>
      <c r="N42" s="304"/>
      <c r="O42" s="274"/>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row>
    <row r="43" spans="2:54" ht="15.75" customHeight="1">
      <c r="B43" s="391"/>
      <c r="C43" s="258"/>
      <c r="D43" s="258"/>
      <c r="E43" s="293"/>
      <c r="F43" s="253"/>
      <c r="G43" s="391"/>
      <c r="H43" s="395"/>
      <c r="I43" s="395"/>
      <c r="J43" s="388"/>
      <c r="K43" s="388"/>
      <c r="L43" s="388"/>
      <c r="M43" s="388"/>
      <c r="N43" s="304"/>
      <c r="O43" s="274"/>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row>
    <row r="44" spans="2:54" ht="15.75" customHeight="1">
      <c r="B44" s="296"/>
      <c r="C44" s="258"/>
      <c r="D44" s="258"/>
      <c r="E44" s="293"/>
      <c r="F44" s="253"/>
      <c r="G44" s="296"/>
      <c r="H44" s="244"/>
      <c r="I44" s="244"/>
      <c r="J44" s="388"/>
      <c r="K44" s="388"/>
      <c r="L44" s="388"/>
      <c r="M44" s="388"/>
      <c r="N44" s="304"/>
      <c r="O44" s="274"/>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row>
    <row r="45" spans="2:54" ht="9" customHeight="1">
      <c r="B45" s="296"/>
      <c r="C45" s="259"/>
      <c r="D45" s="259"/>
      <c r="E45" s="297"/>
      <c r="F45" s="253"/>
      <c r="G45" s="296"/>
      <c r="H45" s="244"/>
      <c r="I45" s="244"/>
      <c r="J45" s="259"/>
      <c r="K45" s="259"/>
      <c r="L45" s="254"/>
      <c r="M45" s="254"/>
      <c r="N45" s="303"/>
      <c r="O45" s="254"/>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row>
    <row r="46" spans="2:54" ht="12.75" customHeight="1">
      <c r="B46" s="391" t="s">
        <v>755</v>
      </c>
      <c r="C46" s="258"/>
      <c r="D46" s="258"/>
      <c r="E46" s="293"/>
      <c r="F46" s="253"/>
      <c r="G46" s="391" t="s">
        <v>755</v>
      </c>
      <c r="H46" s="395"/>
      <c r="I46" s="395"/>
      <c r="J46" s="388"/>
      <c r="K46" s="388"/>
      <c r="L46" s="388"/>
      <c r="M46" s="388"/>
      <c r="N46" s="304"/>
      <c r="O46" s="274"/>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row>
    <row r="47" spans="2:54" ht="16.5" customHeight="1">
      <c r="B47" s="391"/>
      <c r="C47" s="291"/>
      <c r="D47" s="291"/>
      <c r="E47" s="293"/>
      <c r="F47" s="253"/>
      <c r="G47" s="391"/>
      <c r="H47" s="395"/>
      <c r="I47" s="395"/>
      <c r="J47" s="388"/>
      <c r="K47" s="388"/>
      <c r="L47" s="388"/>
      <c r="M47" s="388"/>
      <c r="N47" s="304"/>
      <c r="O47" s="274"/>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row>
    <row r="48" spans="2:54" ht="12.75" customHeight="1">
      <c r="B48" s="391"/>
      <c r="C48" s="291"/>
      <c r="D48" s="291"/>
      <c r="E48" s="293"/>
      <c r="F48" s="253"/>
      <c r="G48" s="391"/>
      <c r="H48" s="395"/>
      <c r="I48" s="395"/>
      <c r="J48" s="388"/>
      <c r="K48" s="388"/>
      <c r="L48" s="388"/>
      <c r="M48" s="388"/>
      <c r="N48" s="304"/>
      <c r="O48" s="274"/>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row>
    <row r="49" spans="2:54" ht="12.75" customHeight="1">
      <c r="B49" s="296"/>
      <c r="C49" s="259"/>
      <c r="D49" s="259"/>
      <c r="E49" s="293"/>
      <c r="F49" s="253"/>
      <c r="G49" s="296"/>
      <c r="H49" s="244"/>
      <c r="I49" s="244"/>
      <c r="J49" s="259"/>
      <c r="K49" s="259"/>
      <c r="L49" s="274"/>
      <c r="M49" s="274"/>
      <c r="N49" s="304"/>
      <c r="O49" s="274"/>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row>
    <row r="50" spans="2:54" ht="16.5" customHeight="1">
      <c r="B50" s="391" t="s">
        <v>757</v>
      </c>
      <c r="C50" s="258"/>
      <c r="D50" s="258"/>
      <c r="E50" s="293"/>
      <c r="F50" s="253"/>
      <c r="G50" s="391" t="s">
        <v>757</v>
      </c>
      <c r="H50" s="395"/>
      <c r="I50" s="395"/>
      <c r="J50" s="388"/>
      <c r="K50" s="388"/>
      <c r="L50" s="388"/>
      <c r="M50" s="388"/>
      <c r="N50" s="304"/>
      <c r="O50" s="274"/>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row>
    <row r="51" spans="2:54" ht="16.5" customHeight="1">
      <c r="B51" s="391"/>
      <c r="C51" s="258"/>
      <c r="D51" s="258"/>
      <c r="E51" s="293"/>
      <c r="F51" s="253"/>
      <c r="G51" s="391"/>
      <c r="H51" s="395"/>
      <c r="I51" s="395"/>
      <c r="J51" s="388"/>
      <c r="K51" s="388"/>
      <c r="L51" s="388"/>
      <c r="M51" s="388"/>
      <c r="N51" s="304"/>
      <c r="O51" s="274"/>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row>
    <row r="52" spans="2:54" ht="16.5" customHeight="1">
      <c r="B52" s="391"/>
      <c r="C52" s="258"/>
      <c r="D52" s="258"/>
      <c r="E52" s="293"/>
      <c r="F52" s="253"/>
      <c r="G52" s="391"/>
      <c r="H52" s="395"/>
      <c r="I52" s="395"/>
      <c r="J52" s="388"/>
      <c r="K52" s="388"/>
      <c r="L52" s="388"/>
      <c r="M52" s="388"/>
      <c r="N52" s="304"/>
      <c r="O52" s="274"/>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row>
    <row r="53" spans="2:54" ht="18.75" thickBot="1">
      <c r="B53" s="298"/>
      <c r="C53" s="299"/>
      <c r="D53" s="299"/>
      <c r="E53" s="300"/>
      <c r="F53" s="253"/>
      <c r="G53" s="298"/>
      <c r="H53" s="299"/>
      <c r="I53" s="299"/>
      <c r="J53" s="302"/>
      <c r="K53" s="289"/>
      <c r="L53" s="288"/>
      <c r="M53" s="288"/>
      <c r="N53" s="290"/>
      <c r="O53" s="27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row>
    <row r="54" spans="2:54" ht="18">
      <c r="B54" s="253"/>
      <c r="C54" s="254"/>
      <c r="D54" s="254"/>
      <c r="E54" s="253"/>
      <c r="F54" s="253"/>
      <c r="G54" s="394"/>
      <c r="H54" s="394"/>
      <c r="I54" s="394"/>
      <c r="J54" s="253"/>
      <c r="K54" s="253"/>
      <c r="L54" s="394"/>
      <c r="M54" s="394"/>
      <c r="N54" s="394"/>
      <c r="O54" s="394"/>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row>
    <row r="55" spans="2:54" ht="18">
      <c r="B55" s="253"/>
      <c r="C55" s="254"/>
      <c r="D55" s="254"/>
      <c r="E55" s="253"/>
      <c r="F55" s="253"/>
      <c r="G55" s="394"/>
      <c r="H55" s="394"/>
      <c r="I55" s="394"/>
      <c r="J55" s="253"/>
      <c r="K55" s="253"/>
      <c r="L55" s="394"/>
      <c r="M55" s="394"/>
      <c r="N55" s="394"/>
      <c r="O55" s="394"/>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row>
    <row r="56" spans="2:54" ht="18">
      <c r="B56" s="253"/>
      <c r="C56" s="254"/>
      <c r="D56" s="254"/>
      <c r="E56" s="253"/>
      <c r="F56" s="253"/>
      <c r="G56" s="394"/>
      <c r="H56" s="394"/>
      <c r="I56" s="394"/>
      <c r="J56" s="253"/>
      <c r="K56" s="253"/>
      <c r="L56" s="394"/>
      <c r="M56" s="394"/>
      <c r="N56" s="394"/>
      <c r="O56" s="394"/>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row>
    <row r="57" spans="2:54" ht="18">
      <c r="B57" s="253"/>
      <c r="C57" s="394"/>
      <c r="D57" s="394"/>
      <c r="E57" s="253"/>
      <c r="F57" s="253"/>
      <c r="G57" s="394"/>
      <c r="H57" s="394"/>
      <c r="I57" s="394"/>
      <c r="J57" s="253"/>
      <c r="K57" s="253"/>
      <c r="L57" s="394"/>
      <c r="M57" s="394"/>
      <c r="N57" s="394"/>
      <c r="O57" s="394"/>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row>
    <row r="58" spans="2:54" ht="18">
      <c r="B58" s="253"/>
      <c r="C58" s="394"/>
      <c r="D58" s="394"/>
      <c r="E58" s="253"/>
      <c r="F58" s="253"/>
      <c r="G58" s="394"/>
      <c r="H58" s="394"/>
      <c r="I58" s="394"/>
      <c r="J58" s="253"/>
      <c r="K58" s="253"/>
      <c r="L58" s="394"/>
      <c r="M58" s="394"/>
      <c r="N58" s="394"/>
      <c r="O58" s="394"/>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row>
    <row r="59" spans="2:54" ht="18">
      <c r="B59" s="253"/>
      <c r="C59" s="394"/>
      <c r="D59" s="394"/>
      <c r="E59" s="253"/>
      <c r="F59" s="253"/>
      <c r="G59" s="394"/>
      <c r="H59" s="394"/>
      <c r="I59" s="394"/>
      <c r="J59" s="253"/>
      <c r="K59" s="253"/>
      <c r="L59" s="394"/>
      <c r="M59" s="394"/>
      <c r="N59" s="394"/>
      <c r="O59" s="394"/>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row>
    <row r="60" spans="2:54" ht="18">
      <c r="B60" s="253"/>
      <c r="C60" s="394"/>
      <c r="D60" s="394"/>
      <c r="E60" s="253"/>
      <c r="F60" s="253"/>
      <c r="G60" s="394"/>
      <c r="H60" s="394"/>
      <c r="I60" s="394"/>
      <c r="J60" s="253"/>
      <c r="K60" s="253"/>
      <c r="L60" s="394"/>
      <c r="M60" s="394"/>
      <c r="N60" s="394"/>
      <c r="O60" s="394"/>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row>
    <row r="61" spans="2:54" ht="18">
      <c r="B61" s="253"/>
      <c r="C61" s="394"/>
      <c r="D61" s="394"/>
      <c r="E61" s="253"/>
      <c r="F61" s="253"/>
      <c r="G61" s="394"/>
      <c r="H61" s="394"/>
      <c r="I61" s="394"/>
      <c r="J61" s="253"/>
      <c r="K61" s="253"/>
      <c r="L61" s="394"/>
      <c r="M61" s="394"/>
      <c r="N61" s="394"/>
      <c r="O61" s="394"/>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row>
    <row r="62" spans="2:54" ht="18">
      <c r="B62" s="253"/>
      <c r="C62" s="394"/>
      <c r="D62" s="394"/>
      <c r="E62" s="253"/>
      <c r="F62" s="253"/>
      <c r="G62" s="394"/>
      <c r="H62" s="394"/>
      <c r="I62" s="394"/>
      <c r="J62" s="253"/>
      <c r="K62" s="253"/>
      <c r="L62" s="394"/>
      <c r="M62" s="394"/>
      <c r="N62" s="394"/>
      <c r="O62" s="394"/>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row>
    <row r="63" spans="2:54" ht="18">
      <c r="B63" s="253"/>
      <c r="C63" s="394"/>
      <c r="D63" s="394"/>
      <c r="E63" s="253"/>
      <c r="F63" s="253"/>
      <c r="G63" s="394"/>
      <c r="H63" s="394"/>
      <c r="I63" s="394"/>
      <c r="J63" s="253"/>
      <c r="K63" s="253"/>
      <c r="L63" s="394"/>
      <c r="M63" s="394"/>
      <c r="N63" s="394"/>
      <c r="O63" s="394"/>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row>
    <row r="64" spans="2:54" ht="18">
      <c r="B64" s="253"/>
      <c r="C64" s="394"/>
      <c r="D64" s="394"/>
      <c r="E64" s="253"/>
      <c r="F64" s="253"/>
      <c r="G64" s="394"/>
      <c r="H64" s="394"/>
      <c r="I64" s="394"/>
      <c r="J64" s="253"/>
      <c r="K64" s="253"/>
      <c r="L64" s="394"/>
      <c r="M64" s="394"/>
      <c r="N64" s="394"/>
      <c r="O64" s="394"/>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row>
    <row r="65" spans="2:54" ht="18">
      <c r="B65" s="253"/>
      <c r="C65" s="394"/>
      <c r="D65" s="394"/>
      <c r="E65" s="253"/>
      <c r="F65" s="253"/>
      <c r="G65" s="394"/>
      <c r="H65" s="394"/>
      <c r="I65" s="394"/>
      <c r="J65" s="253"/>
      <c r="K65" s="253"/>
      <c r="L65" s="394"/>
      <c r="M65" s="394"/>
      <c r="N65" s="394"/>
      <c r="O65" s="394"/>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row>
    <row r="66" spans="2:54" ht="18">
      <c r="B66" s="253"/>
      <c r="C66" s="394"/>
      <c r="D66" s="394"/>
      <c r="E66" s="253"/>
      <c r="F66" s="253"/>
      <c r="G66" s="394"/>
      <c r="H66" s="394"/>
      <c r="I66" s="394"/>
      <c r="J66" s="253"/>
      <c r="K66" s="253"/>
      <c r="L66" s="394"/>
      <c r="M66" s="394"/>
      <c r="N66" s="394"/>
      <c r="O66" s="394"/>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row>
    <row r="67" spans="2:54" ht="18">
      <c r="B67" s="253"/>
      <c r="C67" s="394"/>
      <c r="D67" s="394"/>
      <c r="E67" s="253"/>
      <c r="F67" s="253"/>
      <c r="G67" s="394"/>
      <c r="H67" s="394"/>
      <c r="I67" s="394"/>
      <c r="J67" s="253"/>
      <c r="K67" s="253"/>
      <c r="L67" s="394"/>
      <c r="M67" s="394"/>
      <c r="N67" s="394"/>
      <c r="O67" s="394"/>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row>
    <row r="68" spans="2:54" ht="18">
      <c r="B68" s="253"/>
      <c r="C68" s="394"/>
      <c r="D68" s="394"/>
      <c r="E68" s="253"/>
      <c r="F68" s="253"/>
      <c r="G68" s="394"/>
      <c r="H68" s="394"/>
      <c r="I68" s="394"/>
      <c r="J68" s="253"/>
      <c r="K68" s="253"/>
      <c r="L68" s="394"/>
      <c r="M68" s="394"/>
      <c r="N68" s="394"/>
      <c r="O68" s="394"/>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row>
    <row r="69" spans="2:54" ht="18">
      <c r="B69" s="253"/>
      <c r="C69" s="394"/>
      <c r="D69" s="394"/>
      <c r="E69" s="253"/>
      <c r="F69" s="253"/>
      <c r="G69" s="394"/>
      <c r="H69" s="394"/>
      <c r="I69" s="394"/>
      <c r="J69" s="253"/>
      <c r="K69" s="253"/>
      <c r="L69" s="394"/>
      <c r="M69" s="394"/>
      <c r="N69" s="394"/>
      <c r="O69" s="394"/>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row>
    <row r="70" spans="2:54" ht="18">
      <c r="B70" s="253"/>
      <c r="C70" s="394"/>
      <c r="D70" s="394"/>
      <c r="E70" s="253"/>
      <c r="F70" s="253"/>
      <c r="G70" s="394"/>
      <c r="H70" s="394"/>
      <c r="I70" s="394"/>
      <c r="J70" s="253"/>
      <c r="K70" s="253"/>
      <c r="L70" s="394"/>
      <c r="M70" s="394"/>
      <c r="N70" s="394"/>
      <c r="O70" s="394"/>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row>
    <row r="71" spans="2:54" ht="18">
      <c r="B71" s="253"/>
      <c r="C71" s="394"/>
      <c r="D71" s="394"/>
      <c r="E71" s="253"/>
      <c r="F71" s="253"/>
      <c r="G71" s="394"/>
      <c r="H71" s="394"/>
      <c r="I71" s="394"/>
      <c r="J71" s="253"/>
      <c r="K71" s="253"/>
      <c r="L71" s="394"/>
      <c r="M71" s="394"/>
      <c r="N71" s="394"/>
      <c r="O71" s="394"/>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row>
    <row r="72" spans="2:54" ht="18">
      <c r="B72" s="253"/>
      <c r="C72" s="394"/>
      <c r="D72" s="394"/>
      <c r="E72" s="253"/>
      <c r="F72" s="253"/>
      <c r="G72" s="394"/>
      <c r="H72" s="394"/>
      <c r="I72" s="394"/>
      <c r="J72" s="253"/>
      <c r="K72" s="253"/>
      <c r="L72" s="394"/>
      <c r="M72" s="394"/>
      <c r="N72" s="394"/>
      <c r="O72" s="394"/>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row>
    <row r="73" spans="2:54" ht="18">
      <c r="B73" s="253"/>
      <c r="C73" s="394"/>
      <c r="D73" s="394"/>
      <c r="E73" s="253"/>
      <c r="F73" s="253"/>
      <c r="G73" s="394"/>
      <c r="H73" s="394"/>
      <c r="I73" s="394"/>
      <c r="J73" s="253"/>
      <c r="K73" s="253"/>
      <c r="L73" s="394"/>
      <c r="M73" s="394"/>
      <c r="N73" s="394"/>
      <c r="O73" s="394"/>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row>
    <row r="74" spans="2:54" ht="18">
      <c r="B74" s="253"/>
      <c r="C74" s="394"/>
      <c r="D74" s="394"/>
      <c r="E74" s="253"/>
      <c r="F74" s="253"/>
      <c r="G74" s="394"/>
      <c r="H74" s="394"/>
      <c r="I74" s="394"/>
      <c r="J74" s="253"/>
      <c r="K74" s="253"/>
      <c r="L74" s="394"/>
      <c r="M74" s="394"/>
      <c r="N74" s="394"/>
      <c r="O74" s="394"/>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row>
    <row r="75" spans="2:54" ht="18">
      <c r="B75" s="253"/>
      <c r="C75" s="394"/>
      <c r="D75" s="394"/>
      <c r="E75" s="253"/>
      <c r="F75" s="253"/>
      <c r="G75" s="394"/>
      <c r="H75" s="394"/>
      <c r="I75" s="394"/>
      <c r="J75" s="253"/>
      <c r="K75" s="253"/>
      <c r="L75" s="394"/>
      <c r="M75" s="394"/>
      <c r="N75" s="394"/>
      <c r="O75" s="394"/>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row>
    <row r="76" spans="2:54" ht="18">
      <c r="B76" s="253"/>
      <c r="C76" s="394"/>
      <c r="D76" s="394"/>
      <c r="E76" s="253"/>
      <c r="F76" s="253"/>
      <c r="G76" s="394"/>
      <c r="H76" s="394"/>
      <c r="I76" s="394"/>
      <c r="J76" s="253"/>
      <c r="K76" s="253"/>
      <c r="L76" s="394"/>
      <c r="M76" s="394"/>
      <c r="N76" s="394"/>
      <c r="O76" s="394"/>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row>
    <row r="77" spans="2:54" ht="18">
      <c r="B77" s="253"/>
      <c r="C77" s="394"/>
      <c r="D77" s="394"/>
      <c r="E77" s="253"/>
      <c r="F77" s="253"/>
      <c r="G77" s="394"/>
      <c r="H77" s="394"/>
      <c r="I77" s="394"/>
      <c r="J77" s="253"/>
      <c r="K77" s="253"/>
      <c r="L77" s="394"/>
      <c r="M77" s="394"/>
      <c r="N77" s="394"/>
      <c r="O77" s="394"/>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row>
    <row r="78" spans="2:54" ht="18">
      <c r="B78" s="253"/>
      <c r="C78" s="394"/>
      <c r="D78" s="394"/>
      <c r="E78" s="253"/>
      <c r="F78" s="253"/>
      <c r="G78" s="394"/>
      <c r="H78" s="394"/>
      <c r="I78" s="394"/>
      <c r="J78" s="253"/>
      <c r="K78" s="253"/>
      <c r="L78" s="394"/>
      <c r="M78" s="394"/>
      <c r="N78" s="394"/>
      <c r="O78" s="394"/>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row>
    <row r="79" spans="2:54" ht="18">
      <c r="B79" s="253"/>
      <c r="C79" s="394"/>
      <c r="D79" s="394"/>
      <c r="E79" s="253"/>
      <c r="F79" s="253"/>
      <c r="G79" s="394"/>
      <c r="H79" s="394"/>
      <c r="I79" s="394"/>
      <c r="J79" s="253"/>
      <c r="K79" s="253"/>
      <c r="L79" s="394"/>
      <c r="M79" s="394"/>
      <c r="N79" s="394"/>
      <c r="O79" s="394"/>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row>
    <row r="80" spans="2:54" ht="18">
      <c r="B80" s="253"/>
      <c r="C80" s="394"/>
      <c r="D80" s="394"/>
      <c r="E80" s="253"/>
      <c r="F80" s="253"/>
      <c r="G80" s="394"/>
      <c r="H80" s="394"/>
      <c r="I80" s="394"/>
      <c r="J80" s="253"/>
      <c r="K80" s="253"/>
      <c r="L80" s="394"/>
      <c r="M80" s="394"/>
      <c r="N80" s="394"/>
      <c r="O80" s="394"/>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row>
    <row r="81" spans="2:54" ht="18">
      <c r="B81" s="253"/>
      <c r="C81" s="394"/>
      <c r="D81" s="394"/>
      <c r="E81" s="253"/>
      <c r="F81" s="253"/>
      <c r="G81" s="394"/>
      <c r="H81" s="394"/>
      <c r="I81" s="394"/>
      <c r="J81" s="253"/>
      <c r="K81" s="253"/>
      <c r="L81" s="394"/>
      <c r="M81" s="394"/>
      <c r="N81" s="394"/>
      <c r="O81" s="394"/>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row>
    <row r="82" spans="2:54" ht="18">
      <c r="B82" s="253"/>
      <c r="C82" s="394"/>
      <c r="D82" s="394"/>
      <c r="E82" s="253"/>
      <c r="F82" s="253"/>
      <c r="G82" s="394"/>
      <c r="H82" s="394"/>
      <c r="I82" s="394"/>
      <c r="J82" s="253"/>
      <c r="K82" s="253"/>
      <c r="L82" s="394"/>
      <c r="M82" s="394"/>
      <c r="N82" s="394"/>
      <c r="O82" s="394"/>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row>
    <row r="83" spans="2:54" ht="18">
      <c r="B83" s="253"/>
      <c r="C83" s="394"/>
      <c r="D83" s="394"/>
      <c r="E83" s="253"/>
      <c r="F83" s="253"/>
      <c r="G83" s="394"/>
      <c r="H83" s="394"/>
      <c r="I83" s="394"/>
      <c r="J83" s="253"/>
      <c r="K83" s="253"/>
      <c r="L83" s="394"/>
      <c r="M83" s="394"/>
      <c r="N83" s="394"/>
      <c r="O83" s="394"/>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row>
    <row r="84" spans="2:54" ht="18">
      <c r="B84" s="253"/>
      <c r="C84" s="394"/>
      <c r="D84" s="394"/>
      <c r="E84" s="253"/>
      <c r="F84" s="253"/>
      <c r="G84" s="394"/>
      <c r="H84" s="394"/>
      <c r="I84" s="394"/>
      <c r="J84" s="253"/>
      <c r="K84" s="253"/>
      <c r="L84" s="394"/>
      <c r="M84" s="394"/>
      <c r="N84" s="394"/>
      <c r="O84" s="394"/>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row>
    <row r="85" spans="2:54" ht="18">
      <c r="B85" s="253"/>
      <c r="C85" s="394"/>
      <c r="D85" s="394"/>
      <c r="E85" s="253"/>
      <c r="F85" s="253"/>
      <c r="G85" s="394"/>
      <c r="H85" s="394"/>
      <c r="I85" s="394"/>
      <c r="J85" s="253"/>
      <c r="K85" s="253"/>
      <c r="L85" s="394"/>
      <c r="M85" s="394"/>
      <c r="N85" s="394"/>
      <c r="O85" s="394"/>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row>
    <row r="86" spans="2:54" ht="18">
      <c r="B86" s="253"/>
      <c r="C86" s="394"/>
      <c r="D86" s="394"/>
      <c r="E86" s="253"/>
      <c r="F86" s="253"/>
      <c r="G86" s="394"/>
      <c r="H86" s="394"/>
      <c r="I86" s="394"/>
      <c r="J86" s="253"/>
      <c r="K86" s="253"/>
      <c r="L86" s="394"/>
      <c r="M86" s="394"/>
      <c r="N86" s="394"/>
      <c r="O86" s="394"/>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row>
    <row r="87" spans="2:54" ht="18">
      <c r="B87" s="253"/>
      <c r="C87" s="394"/>
      <c r="D87" s="394"/>
      <c r="E87" s="253"/>
      <c r="F87" s="253"/>
      <c r="G87" s="394"/>
      <c r="H87" s="394"/>
      <c r="I87" s="394"/>
      <c r="J87" s="253"/>
      <c r="K87" s="253"/>
      <c r="L87" s="394"/>
      <c r="M87" s="394"/>
      <c r="N87" s="394"/>
      <c r="O87" s="394"/>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row>
    <row r="88" spans="2:54" ht="18">
      <c r="B88" s="253"/>
      <c r="C88" s="394"/>
      <c r="D88" s="394"/>
      <c r="E88" s="253"/>
      <c r="F88" s="253"/>
      <c r="G88" s="394"/>
      <c r="H88" s="394"/>
      <c r="I88" s="394"/>
      <c r="J88" s="253"/>
      <c r="K88" s="253"/>
      <c r="L88" s="394"/>
      <c r="M88" s="394"/>
      <c r="N88" s="394"/>
      <c r="O88" s="394"/>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row>
    <row r="89" spans="2:54" ht="18">
      <c r="B89" s="253"/>
      <c r="C89" s="394"/>
      <c r="D89" s="394"/>
      <c r="E89" s="253"/>
      <c r="F89" s="253"/>
      <c r="G89" s="394"/>
      <c r="H89" s="394"/>
      <c r="I89" s="394"/>
      <c r="J89" s="253"/>
      <c r="K89" s="253"/>
      <c r="L89" s="394"/>
      <c r="M89" s="394"/>
      <c r="N89" s="394"/>
      <c r="O89" s="394"/>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row>
    <row r="90" spans="2:54" ht="18">
      <c r="B90" s="253"/>
      <c r="C90" s="394"/>
      <c r="D90" s="394"/>
      <c r="E90" s="253"/>
      <c r="F90" s="253"/>
      <c r="G90" s="394"/>
      <c r="H90" s="394"/>
      <c r="I90" s="394"/>
      <c r="J90" s="253"/>
      <c r="K90" s="253"/>
      <c r="L90" s="394"/>
      <c r="M90" s="394"/>
      <c r="N90" s="394"/>
      <c r="O90" s="394"/>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row>
    <row r="91" spans="2:54" ht="18">
      <c r="B91" s="253"/>
      <c r="C91" s="394"/>
      <c r="D91" s="394"/>
      <c r="E91" s="253"/>
      <c r="F91" s="253"/>
      <c r="G91" s="394"/>
      <c r="H91" s="394"/>
      <c r="I91" s="394"/>
      <c r="J91" s="253"/>
      <c r="K91" s="253"/>
      <c r="L91" s="394"/>
      <c r="M91" s="394"/>
      <c r="N91" s="394"/>
      <c r="O91" s="394"/>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row>
    <row r="92" spans="2:54" ht="18">
      <c r="B92" s="253"/>
      <c r="C92" s="394"/>
      <c r="D92" s="394"/>
      <c r="E92" s="253"/>
      <c r="F92" s="253"/>
      <c r="G92" s="394"/>
      <c r="H92" s="394"/>
      <c r="I92" s="394"/>
      <c r="J92" s="253"/>
      <c r="K92" s="253"/>
      <c r="L92" s="394"/>
      <c r="M92" s="394"/>
      <c r="N92" s="394"/>
      <c r="O92" s="394"/>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row>
    <row r="93" spans="2:54" ht="18">
      <c r="B93" s="253"/>
      <c r="C93" s="394"/>
      <c r="D93" s="394"/>
      <c r="E93" s="253"/>
      <c r="F93" s="253"/>
      <c r="G93" s="394"/>
      <c r="H93" s="394"/>
      <c r="I93" s="394"/>
      <c r="J93" s="253"/>
      <c r="K93" s="253"/>
      <c r="L93" s="394"/>
      <c r="M93" s="394"/>
      <c r="N93" s="394"/>
      <c r="O93" s="394"/>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row>
    <row r="94" spans="2:54" ht="18">
      <c r="B94" s="253"/>
      <c r="C94" s="394"/>
      <c r="D94" s="394"/>
      <c r="E94" s="253"/>
      <c r="F94" s="253"/>
      <c r="G94" s="394"/>
      <c r="H94" s="394"/>
      <c r="I94" s="394"/>
      <c r="J94" s="253"/>
      <c r="K94" s="253"/>
      <c r="L94" s="394"/>
      <c r="M94" s="394"/>
      <c r="N94" s="394"/>
      <c r="O94" s="394"/>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row>
    <row r="95" spans="2:54" ht="18">
      <c r="B95" s="253"/>
      <c r="C95" s="394"/>
      <c r="D95" s="394"/>
      <c r="E95" s="253"/>
      <c r="F95" s="253"/>
      <c r="G95" s="394"/>
      <c r="H95" s="394"/>
      <c r="I95" s="394"/>
      <c r="J95" s="253"/>
      <c r="K95" s="253"/>
      <c r="L95" s="394"/>
      <c r="M95" s="394"/>
      <c r="N95" s="394"/>
      <c r="O95" s="394"/>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row>
    <row r="96" spans="2:54" ht="18">
      <c r="B96" s="253"/>
      <c r="C96" s="394"/>
      <c r="D96" s="394"/>
      <c r="E96" s="253"/>
      <c r="F96" s="253"/>
      <c r="G96" s="394"/>
      <c r="H96" s="394"/>
      <c r="I96" s="394"/>
      <c r="J96" s="253"/>
      <c r="K96" s="253"/>
      <c r="L96" s="394"/>
      <c r="M96" s="394"/>
      <c r="N96" s="394"/>
      <c r="O96" s="394"/>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row>
    <row r="97" spans="2:54" ht="18">
      <c r="B97" s="253"/>
      <c r="C97" s="394"/>
      <c r="D97" s="394"/>
      <c r="E97" s="253"/>
      <c r="F97" s="253"/>
      <c r="G97" s="394"/>
      <c r="H97" s="394"/>
      <c r="I97" s="394"/>
      <c r="J97" s="253"/>
      <c r="K97" s="253"/>
      <c r="L97" s="394"/>
      <c r="M97" s="394"/>
      <c r="N97" s="394"/>
      <c r="O97" s="394"/>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row>
    <row r="98" spans="2:54" ht="18">
      <c r="B98" s="253"/>
      <c r="C98" s="394"/>
      <c r="D98" s="394"/>
      <c r="E98" s="253"/>
      <c r="F98" s="253"/>
      <c r="G98" s="394"/>
      <c r="H98" s="394"/>
      <c r="I98" s="394"/>
      <c r="J98" s="253"/>
      <c r="K98" s="253"/>
      <c r="L98" s="394"/>
      <c r="M98" s="394"/>
      <c r="N98" s="394"/>
      <c r="O98" s="394"/>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row>
    <row r="99" spans="2:54" ht="18">
      <c r="B99" s="253"/>
      <c r="C99" s="394"/>
      <c r="D99" s="394"/>
      <c r="E99" s="253"/>
      <c r="F99" s="253"/>
      <c r="G99" s="394"/>
      <c r="H99" s="394"/>
      <c r="I99" s="394"/>
      <c r="J99" s="253"/>
      <c r="K99" s="253"/>
      <c r="L99" s="394"/>
      <c r="M99" s="394"/>
      <c r="N99" s="394"/>
      <c r="O99" s="394"/>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row>
    <row r="100" spans="2:54" ht="18">
      <c r="B100" s="253"/>
      <c r="C100" s="394"/>
      <c r="D100" s="394"/>
      <c r="E100" s="253"/>
      <c r="F100" s="253"/>
      <c r="G100" s="394"/>
      <c r="H100" s="394"/>
      <c r="I100" s="394"/>
      <c r="J100" s="253"/>
      <c r="K100" s="253"/>
      <c r="L100" s="394"/>
      <c r="M100" s="394"/>
      <c r="N100" s="394"/>
      <c r="O100" s="394"/>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row>
    <row r="101" spans="2:54" ht="18">
      <c r="B101" s="253"/>
      <c r="C101" s="394"/>
      <c r="D101" s="394"/>
      <c r="E101" s="253"/>
      <c r="F101" s="253"/>
      <c r="G101" s="394"/>
      <c r="H101" s="394"/>
      <c r="I101" s="394"/>
      <c r="J101" s="253"/>
      <c r="K101" s="253"/>
      <c r="L101" s="394"/>
      <c r="M101" s="394"/>
      <c r="N101" s="394"/>
      <c r="O101" s="394"/>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row>
    <row r="102" spans="2:54" ht="18">
      <c r="B102" s="253"/>
      <c r="C102" s="394"/>
      <c r="D102" s="394"/>
      <c r="E102" s="253"/>
      <c r="F102" s="253"/>
      <c r="G102" s="394"/>
      <c r="H102" s="394"/>
      <c r="I102" s="394"/>
      <c r="J102" s="253"/>
      <c r="K102" s="253"/>
      <c r="L102" s="394"/>
      <c r="M102" s="394"/>
      <c r="N102" s="394"/>
      <c r="O102" s="394"/>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row>
    <row r="103" spans="2:54" ht="18">
      <c r="B103" s="253"/>
      <c r="C103" s="394"/>
      <c r="D103" s="394"/>
      <c r="E103" s="253"/>
      <c r="F103" s="253"/>
      <c r="G103" s="394"/>
      <c r="H103" s="394"/>
      <c r="I103" s="394"/>
      <c r="J103" s="253"/>
      <c r="K103" s="253"/>
      <c r="L103" s="394"/>
      <c r="M103" s="394"/>
      <c r="N103" s="394"/>
      <c r="O103" s="394"/>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row>
    <row r="104" spans="2:54" ht="18">
      <c r="B104" s="253"/>
      <c r="C104" s="394"/>
      <c r="D104" s="394"/>
      <c r="E104" s="253"/>
      <c r="F104" s="253"/>
      <c r="G104" s="394"/>
      <c r="H104" s="394"/>
      <c r="I104" s="394"/>
      <c r="J104" s="253"/>
      <c r="K104" s="253"/>
      <c r="L104" s="394"/>
      <c r="M104" s="394"/>
      <c r="N104" s="394"/>
      <c r="O104" s="394"/>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row>
    <row r="105" spans="2:54" ht="18">
      <c r="B105" s="253"/>
      <c r="C105" s="394"/>
      <c r="D105" s="394"/>
      <c r="E105" s="253"/>
      <c r="F105" s="253"/>
      <c r="G105" s="394"/>
      <c r="H105" s="394"/>
      <c r="I105" s="394"/>
      <c r="J105" s="253"/>
      <c r="K105" s="253"/>
      <c r="L105" s="394"/>
      <c r="M105" s="394"/>
      <c r="N105" s="394"/>
      <c r="O105" s="39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row>
    <row r="106" spans="2:54" ht="18">
      <c r="B106" s="253"/>
      <c r="C106" s="394"/>
      <c r="D106" s="394"/>
      <c r="E106" s="253"/>
      <c r="F106" s="253"/>
      <c r="G106" s="394"/>
      <c r="H106" s="394"/>
      <c r="I106" s="394"/>
      <c r="J106" s="253"/>
      <c r="K106" s="253"/>
      <c r="L106" s="394"/>
      <c r="M106" s="394"/>
      <c r="N106" s="394"/>
      <c r="O106" s="394"/>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row>
    <row r="107" spans="2:54" ht="18">
      <c r="B107" s="253"/>
      <c r="C107" s="394"/>
      <c r="D107" s="394"/>
      <c r="E107" s="253"/>
      <c r="F107" s="253"/>
      <c r="G107" s="394"/>
      <c r="H107" s="394"/>
      <c r="I107" s="394"/>
      <c r="J107" s="253"/>
      <c r="K107" s="253"/>
      <c r="L107" s="394"/>
      <c r="M107" s="394"/>
      <c r="N107" s="394"/>
      <c r="O107" s="394"/>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row>
    <row r="108" spans="2:54" ht="18">
      <c r="B108" s="253"/>
      <c r="C108" s="394"/>
      <c r="D108" s="394"/>
      <c r="E108" s="253"/>
      <c r="F108" s="253"/>
      <c r="G108" s="394"/>
      <c r="H108" s="394"/>
      <c r="I108" s="394"/>
      <c r="J108" s="253"/>
      <c r="K108" s="253"/>
      <c r="L108" s="394"/>
      <c r="M108" s="394"/>
      <c r="N108" s="394"/>
      <c r="O108" s="394"/>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row>
    <row r="109" spans="2:54" ht="18">
      <c r="B109" s="253"/>
      <c r="C109" s="394"/>
      <c r="D109" s="394"/>
      <c r="E109" s="253"/>
      <c r="F109" s="253"/>
      <c r="G109" s="394"/>
      <c r="H109" s="394"/>
      <c r="I109" s="394"/>
      <c r="J109" s="253"/>
      <c r="K109" s="253"/>
      <c r="L109" s="394"/>
      <c r="M109" s="394"/>
      <c r="N109" s="394"/>
      <c r="O109" s="394"/>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row>
    <row r="110" spans="2:54" ht="18">
      <c r="B110" s="253"/>
      <c r="C110" s="394"/>
      <c r="D110" s="394"/>
      <c r="E110" s="253"/>
      <c r="F110" s="253"/>
      <c r="G110" s="394"/>
      <c r="H110" s="394"/>
      <c r="I110" s="394"/>
      <c r="J110" s="253"/>
      <c r="K110" s="253"/>
      <c r="L110" s="394"/>
      <c r="M110" s="394"/>
      <c r="N110" s="394"/>
      <c r="O110" s="394"/>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row>
    <row r="111" spans="2:54" ht="18">
      <c r="B111" s="253"/>
      <c r="C111" s="394"/>
      <c r="D111" s="394"/>
      <c r="E111" s="253"/>
      <c r="F111" s="253"/>
      <c r="G111" s="394"/>
      <c r="H111" s="394"/>
      <c r="I111" s="394"/>
      <c r="J111" s="253"/>
      <c r="K111" s="253"/>
      <c r="L111" s="394"/>
      <c r="M111" s="394"/>
      <c r="N111" s="394"/>
      <c r="O111" s="394"/>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row>
    <row r="112" spans="2:54" ht="18">
      <c r="B112" s="253"/>
      <c r="C112" s="394"/>
      <c r="D112" s="394"/>
      <c r="E112" s="253"/>
      <c r="F112" s="253"/>
      <c r="G112" s="394"/>
      <c r="H112" s="394"/>
      <c r="I112" s="394"/>
      <c r="J112" s="253"/>
      <c r="K112" s="253"/>
      <c r="L112" s="394"/>
      <c r="M112" s="394"/>
      <c r="N112" s="394"/>
      <c r="O112" s="394"/>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row>
    <row r="113" spans="2:54" ht="18">
      <c r="B113" s="253"/>
      <c r="C113" s="394"/>
      <c r="D113" s="394"/>
      <c r="E113" s="253"/>
      <c r="F113" s="253"/>
      <c r="G113" s="394"/>
      <c r="H113" s="394"/>
      <c r="I113" s="394"/>
      <c r="J113" s="253"/>
      <c r="K113" s="253"/>
      <c r="L113" s="394"/>
      <c r="M113" s="394"/>
      <c r="N113" s="394"/>
      <c r="O113" s="394"/>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row>
    <row r="114" spans="2:54" ht="18">
      <c r="B114" s="253"/>
      <c r="C114" s="394"/>
      <c r="D114" s="394"/>
      <c r="E114" s="253"/>
      <c r="F114" s="253"/>
      <c r="G114" s="394"/>
      <c r="H114" s="394"/>
      <c r="I114" s="394"/>
      <c r="J114" s="253"/>
      <c r="K114" s="253"/>
      <c r="L114" s="394"/>
      <c r="M114" s="394"/>
      <c r="N114" s="394"/>
      <c r="O114" s="394"/>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row>
    <row r="115" spans="2:54" ht="18">
      <c r="B115" s="253"/>
      <c r="C115" s="394"/>
      <c r="D115" s="394"/>
      <c r="E115" s="253"/>
      <c r="F115" s="253"/>
      <c r="G115" s="394"/>
      <c r="H115" s="394"/>
      <c r="I115" s="394"/>
      <c r="J115" s="253"/>
      <c r="K115" s="253"/>
      <c r="L115" s="394"/>
      <c r="M115" s="394"/>
      <c r="N115" s="394"/>
      <c r="O115" s="394"/>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row>
    <row r="116" spans="2:54" ht="18">
      <c r="B116" s="253"/>
      <c r="C116" s="394"/>
      <c r="D116" s="394"/>
      <c r="E116" s="253"/>
      <c r="F116" s="253"/>
      <c r="G116" s="394"/>
      <c r="H116" s="394"/>
      <c r="I116" s="394"/>
      <c r="J116" s="253"/>
      <c r="K116" s="253"/>
      <c r="L116" s="394"/>
      <c r="M116" s="394"/>
      <c r="N116" s="394"/>
      <c r="O116" s="394"/>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row>
    <row r="117" spans="2:54" ht="18">
      <c r="B117" s="253"/>
      <c r="C117" s="394"/>
      <c r="D117" s="394"/>
      <c r="E117" s="253"/>
      <c r="F117" s="253"/>
      <c r="G117" s="394"/>
      <c r="H117" s="394"/>
      <c r="I117" s="394"/>
      <c r="J117" s="253"/>
      <c r="K117" s="253"/>
      <c r="L117" s="394"/>
      <c r="M117" s="394"/>
      <c r="N117" s="394"/>
      <c r="O117" s="394"/>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row>
    <row r="118" spans="2:54" ht="18">
      <c r="B118" s="253"/>
      <c r="C118" s="394"/>
      <c r="D118" s="394"/>
      <c r="E118" s="253"/>
      <c r="F118" s="253"/>
      <c r="G118" s="394"/>
      <c r="H118" s="394"/>
      <c r="I118" s="394"/>
      <c r="J118" s="253"/>
      <c r="K118" s="253"/>
      <c r="L118" s="394"/>
      <c r="M118" s="394"/>
      <c r="N118" s="394"/>
      <c r="O118" s="394"/>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row>
    <row r="119" spans="2:54" ht="18">
      <c r="B119" s="253"/>
      <c r="C119" s="394"/>
      <c r="D119" s="394"/>
      <c r="E119" s="253"/>
      <c r="F119" s="253"/>
      <c r="G119" s="394"/>
      <c r="H119" s="394"/>
      <c r="I119" s="394"/>
      <c r="J119" s="253"/>
      <c r="K119" s="253"/>
      <c r="L119" s="394"/>
      <c r="M119" s="394"/>
      <c r="N119" s="394"/>
      <c r="O119" s="394"/>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row>
    <row r="120" spans="7:15" ht="18">
      <c r="G120" s="394"/>
      <c r="H120" s="394"/>
      <c r="I120" s="394"/>
      <c r="J120" s="253"/>
      <c r="K120" s="253"/>
      <c r="L120" s="394"/>
      <c r="M120" s="394"/>
      <c r="N120" s="394"/>
      <c r="O120" s="394"/>
    </row>
  </sheetData>
  <sheetProtection/>
  <mergeCells count="254">
    <mergeCell ref="C117:D117"/>
    <mergeCell ref="G118:I118"/>
    <mergeCell ref="L118:O118"/>
    <mergeCell ref="C118:D118"/>
    <mergeCell ref="G117:I117"/>
    <mergeCell ref="L117:O117"/>
    <mergeCell ref="C119:D119"/>
    <mergeCell ref="G120:I120"/>
    <mergeCell ref="L120:O120"/>
    <mergeCell ref="G119:I119"/>
    <mergeCell ref="L119:O119"/>
    <mergeCell ref="C115:D115"/>
    <mergeCell ref="G116:I116"/>
    <mergeCell ref="L116:O116"/>
    <mergeCell ref="C116:D116"/>
    <mergeCell ref="G115:I115"/>
    <mergeCell ref="L115:O115"/>
    <mergeCell ref="C113:D113"/>
    <mergeCell ref="G114:I114"/>
    <mergeCell ref="L114:O114"/>
    <mergeCell ref="C114:D114"/>
    <mergeCell ref="G113:I113"/>
    <mergeCell ref="L113:O113"/>
    <mergeCell ref="C111:D111"/>
    <mergeCell ref="G112:I112"/>
    <mergeCell ref="L112:O112"/>
    <mergeCell ref="C112:D112"/>
    <mergeCell ref="G111:I111"/>
    <mergeCell ref="L111:O111"/>
    <mergeCell ref="C109:D109"/>
    <mergeCell ref="G110:I110"/>
    <mergeCell ref="L110:O110"/>
    <mergeCell ref="C110:D110"/>
    <mergeCell ref="G109:I109"/>
    <mergeCell ref="L109:O109"/>
    <mergeCell ref="C107:D107"/>
    <mergeCell ref="G108:I108"/>
    <mergeCell ref="L108:O108"/>
    <mergeCell ref="C108:D108"/>
    <mergeCell ref="G107:I107"/>
    <mergeCell ref="L107:O107"/>
    <mergeCell ref="C105:D105"/>
    <mergeCell ref="G106:I106"/>
    <mergeCell ref="L106:O106"/>
    <mergeCell ref="C106:D106"/>
    <mergeCell ref="G105:I105"/>
    <mergeCell ref="L105:O105"/>
    <mergeCell ref="C103:D103"/>
    <mergeCell ref="G104:I104"/>
    <mergeCell ref="L104:O104"/>
    <mergeCell ref="C104:D104"/>
    <mergeCell ref="G103:I103"/>
    <mergeCell ref="L103:O103"/>
    <mergeCell ref="C101:D101"/>
    <mergeCell ref="G102:I102"/>
    <mergeCell ref="L102:O102"/>
    <mergeCell ref="C102:D102"/>
    <mergeCell ref="G101:I101"/>
    <mergeCell ref="L101:O101"/>
    <mergeCell ref="C99:D99"/>
    <mergeCell ref="G100:I100"/>
    <mergeCell ref="L100:O100"/>
    <mergeCell ref="C100:D100"/>
    <mergeCell ref="G99:I99"/>
    <mergeCell ref="L99:O99"/>
    <mergeCell ref="C97:D97"/>
    <mergeCell ref="G98:I98"/>
    <mergeCell ref="L98:O98"/>
    <mergeCell ref="C98:D98"/>
    <mergeCell ref="G97:I97"/>
    <mergeCell ref="L97:O97"/>
    <mergeCell ref="C95:D95"/>
    <mergeCell ref="G96:I96"/>
    <mergeCell ref="L96:O96"/>
    <mergeCell ref="C96:D96"/>
    <mergeCell ref="G95:I95"/>
    <mergeCell ref="L95:O95"/>
    <mergeCell ref="C93:D93"/>
    <mergeCell ref="G94:I94"/>
    <mergeCell ref="L94:O94"/>
    <mergeCell ref="C94:D94"/>
    <mergeCell ref="G93:I93"/>
    <mergeCell ref="L93:O93"/>
    <mergeCell ref="C91:D91"/>
    <mergeCell ref="G92:I92"/>
    <mergeCell ref="L92:O92"/>
    <mergeCell ref="C92:D92"/>
    <mergeCell ref="G91:I91"/>
    <mergeCell ref="L91:O91"/>
    <mergeCell ref="C89:D89"/>
    <mergeCell ref="G90:I90"/>
    <mergeCell ref="L90:O90"/>
    <mergeCell ref="C90:D90"/>
    <mergeCell ref="G89:I89"/>
    <mergeCell ref="L89:O89"/>
    <mergeCell ref="C87:D87"/>
    <mergeCell ref="G88:I88"/>
    <mergeCell ref="L88:O88"/>
    <mergeCell ref="C88:D88"/>
    <mergeCell ref="G87:I87"/>
    <mergeCell ref="L87:O87"/>
    <mergeCell ref="C85:D85"/>
    <mergeCell ref="G86:I86"/>
    <mergeCell ref="L86:O86"/>
    <mergeCell ref="C86:D86"/>
    <mergeCell ref="G85:I85"/>
    <mergeCell ref="L85:O85"/>
    <mergeCell ref="C83:D83"/>
    <mergeCell ref="G84:I84"/>
    <mergeCell ref="L84:O84"/>
    <mergeCell ref="C84:D84"/>
    <mergeCell ref="G83:I83"/>
    <mergeCell ref="L83:O83"/>
    <mergeCell ref="C81:D81"/>
    <mergeCell ref="G82:I82"/>
    <mergeCell ref="L82:O82"/>
    <mergeCell ref="C82:D82"/>
    <mergeCell ref="G81:I81"/>
    <mergeCell ref="L81:O81"/>
    <mergeCell ref="C79:D79"/>
    <mergeCell ref="G80:I80"/>
    <mergeCell ref="L80:O80"/>
    <mergeCell ref="C80:D80"/>
    <mergeCell ref="G79:I79"/>
    <mergeCell ref="L79:O79"/>
    <mergeCell ref="C77:D77"/>
    <mergeCell ref="G78:I78"/>
    <mergeCell ref="L78:O78"/>
    <mergeCell ref="C78:D78"/>
    <mergeCell ref="G77:I77"/>
    <mergeCell ref="L77:O77"/>
    <mergeCell ref="C75:D75"/>
    <mergeCell ref="G76:I76"/>
    <mergeCell ref="L76:O76"/>
    <mergeCell ref="C76:D76"/>
    <mergeCell ref="G75:I75"/>
    <mergeCell ref="L75:O75"/>
    <mergeCell ref="C73:D73"/>
    <mergeCell ref="G74:I74"/>
    <mergeCell ref="L74:O74"/>
    <mergeCell ref="C74:D74"/>
    <mergeCell ref="G73:I73"/>
    <mergeCell ref="L73:O73"/>
    <mergeCell ref="C71:D71"/>
    <mergeCell ref="G72:I72"/>
    <mergeCell ref="L72:O72"/>
    <mergeCell ref="C72:D72"/>
    <mergeCell ref="G71:I71"/>
    <mergeCell ref="L71:O71"/>
    <mergeCell ref="C69:D69"/>
    <mergeCell ref="G70:I70"/>
    <mergeCell ref="L70:O70"/>
    <mergeCell ref="C70:D70"/>
    <mergeCell ref="G69:I69"/>
    <mergeCell ref="L69:O69"/>
    <mergeCell ref="C67:D67"/>
    <mergeCell ref="G68:I68"/>
    <mergeCell ref="L68:O68"/>
    <mergeCell ref="C68:D68"/>
    <mergeCell ref="G67:I67"/>
    <mergeCell ref="L67:O67"/>
    <mergeCell ref="C65:D65"/>
    <mergeCell ref="G66:I66"/>
    <mergeCell ref="L66:O66"/>
    <mergeCell ref="C66:D66"/>
    <mergeCell ref="G65:I65"/>
    <mergeCell ref="L65:O65"/>
    <mergeCell ref="C63:D63"/>
    <mergeCell ref="G64:I64"/>
    <mergeCell ref="L64:O64"/>
    <mergeCell ref="C64:D64"/>
    <mergeCell ref="G63:I63"/>
    <mergeCell ref="L63:O63"/>
    <mergeCell ref="C61:D61"/>
    <mergeCell ref="G62:I62"/>
    <mergeCell ref="L62:O62"/>
    <mergeCell ref="C62:D62"/>
    <mergeCell ref="G61:I61"/>
    <mergeCell ref="L61:O61"/>
    <mergeCell ref="C59:D59"/>
    <mergeCell ref="G60:I60"/>
    <mergeCell ref="L60:O60"/>
    <mergeCell ref="C60:D60"/>
    <mergeCell ref="G59:I59"/>
    <mergeCell ref="L59:O59"/>
    <mergeCell ref="C57:D57"/>
    <mergeCell ref="G58:I58"/>
    <mergeCell ref="L58:O58"/>
    <mergeCell ref="C58:D58"/>
    <mergeCell ref="G55:I55"/>
    <mergeCell ref="L55:O55"/>
    <mergeCell ref="G57:I57"/>
    <mergeCell ref="L57:O57"/>
    <mergeCell ref="G56:I56"/>
    <mergeCell ref="L56:O56"/>
    <mergeCell ref="J51:M51"/>
    <mergeCell ref="G46:I48"/>
    <mergeCell ref="G54:I54"/>
    <mergeCell ref="L54:O54"/>
    <mergeCell ref="J52:M52"/>
    <mergeCell ref="J36:M36"/>
    <mergeCell ref="J38:M38"/>
    <mergeCell ref="G38:I39"/>
    <mergeCell ref="G42:I43"/>
    <mergeCell ref="J39:M39"/>
    <mergeCell ref="J40:M40"/>
    <mergeCell ref="J42:M42"/>
    <mergeCell ref="J50:M50"/>
    <mergeCell ref="J43:M43"/>
    <mergeCell ref="J44:M44"/>
    <mergeCell ref="J46:M46"/>
    <mergeCell ref="J47:M47"/>
    <mergeCell ref="B50:B52"/>
    <mergeCell ref="G50:I52"/>
    <mergeCell ref="G32:N32"/>
    <mergeCell ref="B32:D32"/>
    <mergeCell ref="B33:B34"/>
    <mergeCell ref="C34:D34"/>
    <mergeCell ref="B46:B48"/>
    <mergeCell ref="B42:B43"/>
    <mergeCell ref="J48:M48"/>
    <mergeCell ref="C35:D35"/>
    <mergeCell ref="J29:K29"/>
    <mergeCell ref="G33:I34"/>
    <mergeCell ref="J34:M34"/>
    <mergeCell ref="J35:M35"/>
    <mergeCell ref="J33:M33"/>
    <mergeCell ref="L31:O31"/>
    <mergeCell ref="L29:M29"/>
    <mergeCell ref="J3:M3"/>
    <mergeCell ref="H28:I28"/>
    <mergeCell ref="J28:K28"/>
    <mergeCell ref="L28:M28"/>
    <mergeCell ref="J26:K26"/>
    <mergeCell ref="L26:M26"/>
    <mergeCell ref="H27:I27"/>
    <mergeCell ref="J27:K27"/>
    <mergeCell ref="L27:M27"/>
    <mergeCell ref="H26:I26"/>
    <mergeCell ref="B38:B39"/>
    <mergeCell ref="C6:D6"/>
    <mergeCell ref="C8:D8"/>
    <mergeCell ref="C9:D9"/>
    <mergeCell ref="C10:D10"/>
    <mergeCell ref="C11:D11"/>
    <mergeCell ref="C33:D33"/>
    <mergeCell ref="H29:I29"/>
    <mergeCell ref="C12:D12"/>
    <mergeCell ref="C13:D13"/>
    <mergeCell ref="C14:D14"/>
    <mergeCell ref="B29:D29"/>
    <mergeCell ref="B26:D26"/>
    <mergeCell ref="B28:D28"/>
    <mergeCell ref="B19:D19"/>
  </mergeCells>
  <printOptions/>
  <pageMargins left="0.7479166666666667" right="0.7479166666666667" top="0.9840277777777777" bottom="0.9840277777777777" header="0.5118055555555555" footer="0.5118055555555555"/>
  <pageSetup fitToHeight="1" fitToWidth="1" horizontalDpi="300" verticalDpi="300" orientation="portrait" scale="32"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showGridLines="0" zoomScale="75" zoomScaleNormal="75" zoomScalePageLayoutView="0" workbookViewId="0" topLeftCell="A1">
      <selection activeCell="E20" sqref="E20"/>
    </sheetView>
  </sheetViews>
  <sheetFormatPr defaultColWidth="9.140625" defaultRowHeight="12.75"/>
  <cols>
    <col min="1" max="1" width="9.140625" style="313" customWidth="1"/>
    <col min="2" max="2" width="21.28125" style="313" customWidth="1"/>
    <col min="3" max="3" width="20.7109375" style="313" customWidth="1"/>
    <col min="4" max="4" width="5.8515625" style="313" customWidth="1"/>
    <col min="5" max="5" width="20.7109375" style="313" customWidth="1"/>
    <col min="6" max="7" width="9.140625" style="313" customWidth="1"/>
    <col min="8" max="8" width="20.7109375" style="313" customWidth="1"/>
    <col min="9" max="9" width="5.7109375" style="313" customWidth="1"/>
    <col min="10" max="10" width="20.7109375" style="313" customWidth="1"/>
    <col min="11" max="11" width="7.57421875" style="313" customWidth="1"/>
    <col min="12" max="12" width="8.57421875" style="313" customWidth="1"/>
    <col min="13" max="13" width="20.7109375" style="313" customWidth="1"/>
    <col min="14" max="14" width="5.140625" style="313" customWidth="1"/>
    <col min="15" max="15" width="20.7109375" style="313" customWidth="1"/>
    <col min="16" max="16384" width="9.140625" style="313" customWidth="1"/>
  </cols>
  <sheetData>
    <row r="1" ht="33" customHeight="1">
      <c r="A1" s="332" t="s">
        <v>786</v>
      </c>
    </row>
    <row r="2" ht="15.75" thickBot="1">
      <c r="A2" s="267" t="s">
        <v>767</v>
      </c>
    </row>
    <row r="3" spans="1:16" ht="26.25" customHeight="1">
      <c r="A3" s="313" t="s">
        <v>770</v>
      </c>
      <c r="C3" s="314"/>
      <c r="E3" s="315"/>
      <c r="F3" s="316"/>
      <c r="G3" s="317"/>
      <c r="I3" s="318" t="s">
        <v>771</v>
      </c>
      <c r="J3" s="319"/>
      <c r="K3" s="319"/>
      <c r="L3" s="319"/>
      <c r="M3" s="319"/>
      <c r="N3" s="319"/>
      <c r="O3" s="320"/>
      <c r="P3" s="315"/>
    </row>
    <row r="4" spans="5:16" ht="21" customHeight="1">
      <c r="E4" s="315"/>
      <c r="F4" s="321"/>
      <c r="G4" s="322"/>
      <c r="I4" s="323"/>
      <c r="J4" s="315"/>
      <c r="K4" s="315"/>
      <c r="L4" s="315"/>
      <c r="M4" s="315"/>
      <c r="N4" s="315"/>
      <c r="O4" s="324"/>
      <c r="P4" s="315"/>
    </row>
    <row r="5" spans="1:16" ht="26.25" customHeight="1">
      <c r="A5" s="313" t="s">
        <v>780</v>
      </c>
      <c r="C5" s="314"/>
      <c r="E5" s="321"/>
      <c r="F5" s="316"/>
      <c r="G5" s="316"/>
      <c r="I5" s="323" t="s">
        <v>39</v>
      </c>
      <c r="J5" s="315"/>
      <c r="K5" s="315"/>
      <c r="L5" s="315"/>
      <c r="M5" s="315"/>
      <c r="N5" s="315"/>
      <c r="O5" s="324"/>
      <c r="P5" s="315"/>
    </row>
    <row r="6" spans="5:16" ht="26.25" customHeight="1">
      <c r="E6" s="321"/>
      <c r="F6" s="316"/>
      <c r="G6" s="316"/>
      <c r="I6" s="323" t="s">
        <v>707</v>
      </c>
      <c r="J6" s="315"/>
      <c r="K6" s="315"/>
      <c r="L6" s="315"/>
      <c r="M6" s="315"/>
      <c r="N6" s="315"/>
      <c r="O6" s="324"/>
      <c r="P6" s="315"/>
    </row>
    <row r="7" spans="1:16" ht="26.25" customHeight="1">
      <c r="A7" s="313" t="s">
        <v>772</v>
      </c>
      <c r="C7" s="314"/>
      <c r="I7" s="323" t="s">
        <v>30</v>
      </c>
      <c r="J7" s="315"/>
      <c r="K7" s="315"/>
      <c r="L7" s="315"/>
      <c r="M7" s="315"/>
      <c r="N7" s="315"/>
      <c r="O7" s="324"/>
      <c r="P7" s="315"/>
    </row>
    <row r="8" spans="9:16" ht="12.75" customHeight="1">
      <c r="I8" s="323"/>
      <c r="J8" s="315"/>
      <c r="K8" s="315"/>
      <c r="L8" s="315"/>
      <c r="M8" s="315"/>
      <c r="N8" s="315"/>
      <c r="O8" s="324"/>
      <c r="P8" s="315"/>
    </row>
    <row r="9" spans="1:16" ht="26.25" customHeight="1">
      <c r="A9" s="313" t="s">
        <v>781</v>
      </c>
      <c r="C9" s="314"/>
      <c r="I9" s="323" t="s">
        <v>53</v>
      </c>
      <c r="J9" s="315"/>
      <c r="K9" s="315"/>
      <c r="L9" s="315"/>
      <c r="M9" s="315"/>
      <c r="N9" s="315"/>
      <c r="O9" s="324"/>
      <c r="P9" s="315"/>
    </row>
    <row r="10" spans="9:16" ht="12.75" customHeight="1">
      <c r="I10" s="323"/>
      <c r="J10" s="315"/>
      <c r="K10" s="315"/>
      <c r="L10" s="315"/>
      <c r="M10" s="315"/>
      <c r="N10" s="315"/>
      <c r="O10" s="324"/>
      <c r="P10" s="315"/>
    </row>
    <row r="11" spans="3:16" ht="26.25" customHeight="1">
      <c r="C11" s="315"/>
      <c r="I11" s="323" t="s">
        <v>773</v>
      </c>
      <c r="J11" s="315"/>
      <c r="K11" s="315"/>
      <c r="L11" s="315"/>
      <c r="M11" s="315"/>
      <c r="N11" s="315"/>
      <c r="O11" s="324"/>
      <c r="P11" s="315"/>
    </row>
    <row r="12" spans="9:16" ht="12.75" customHeight="1">
      <c r="I12" s="323"/>
      <c r="J12" s="315"/>
      <c r="K12" s="315"/>
      <c r="L12" s="315"/>
      <c r="M12" s="315"/>
      <c r="N12" s="315"/>
      <c r="O12" s="324"/>
      <c r="P12" s="315"/>
    </row>
    <row r="13" spans="1:16" ht="26.25" customHeight="1">
      <c r="A13" s="313" t="s">
        <v>775</v>
      </c>
      <c r="C13" s="314"/>
      <c r="I13" s="323" t="s">
        <v>774</v>
      </c>
      <c r="J13" s="315"/>
      <c r="K13" s="315"/>
      <c r="L13" s="315"/>
      <c r="M13" s="315"/>
      <c r="N13" s="315"/>
      <c r="O13" s="324"/>
      <c r="P13" s="315"/>
    </row>
    <row r="14" spans="1:16" ht="25.5" customHeight="1">
      <c r="A14" s="313" t="s">
        <v>776</v>
      </c>
      <c r="C14" s="325"/>
      <c r="I14" s="323"/>
      <c r="J14" s="315"/>
      <c r="K14" s="315"/>
      <c r="L14" s="315"/>
      <c r="M14" s="315"/>
      <c r="N14" s="315"/>
      <c r="O14" s="324"/>
      <c r="P14" s="315"/>
    </row>
    <row r="15" spans="1:16" ht="26.25" customHeight="1">
      <c r="A15" s="313" t="s">
        <v>777</v>
      </c>
      <c r="C15" s="325"/>
      <c r="I15" s="323"/>
      <c r="J15" s="315"/>
      <c r="K15" s="315"/>
      <c r="L15" s="315"/>
      <c r="M15" s="315"/>
      <c r="N15" s="315"/>
      <c r="O15" s="324"/>
      <c r="P15" s="315"/>
    </row>
    <row r="16" spans="1:16" ht="26.25" customHeight="1">
      <c r="A16" s="313" t="s">
        <v>778</v>
      </c>
      <c r="C16" s="325"/>
      <c r="I16" s="323"/>
      <c r="J16" s="315"/>
      <c r="K16" s="315"/>
      <c r="L16" s="315"/>
      <c r="M16" s="315"/>
      <c r="N16" s="315"/>
      <c r="O16" s="324"/>
      <c r="P16" s="315"/>
    </row>
    <row r="17" spans="9:15" ht="15" customHeight="1">
      <c r="I17" s="323"/>
      <c r="J17" s="315"/>
      <c r="K17" s="315"/>
      <c r="L17" s="315"/>
      <c r="M17" s="315"/>
      <c r="N17" s="315"/>
      <c r="O17" s="324"/>
    </row>
    <row r="18" spans="1:15" ht="26.25" customHeight="1">
      <c r="A18" s="313" t="s">
        <v>779</v>
      </c>
      <c r="C18" s="314"/>
      <c r="I18" s="323"/>
      <c r="J18" s="315"/>
      <c r="K18" s="315"/>
      <c r="L18" s="315"/>
      <c r="M18" s="315"/>
      <c r="N18" s="315"/>
      <c r="O18" s="324"/>
    </row>
    <row r="19" spans="9:15" ht="12.75" customHeight="1">
      <c r="I19" s="323"/>
      <c r="J19" s="315"/>
      <c r="K19" s="315"/>
      <c r="L19" s="315"/>
      <c r="M19" s="315"/>
      <c r="N19" s="315"/>
      <c r="O19" s="324"/>
    </row>
    <row r="20" spans="1:15" ht="26.25" customHeight="1" thickBot="1">
      <c r="A20" s="313" t="s">
        <v>782</v>
      </c>
      <c r="C20" s="314"/>
      <c r="E20" s="331"/>
      <c r="I20" s="326"/>
      <c r="J20" s="327"/>
      <c r="K20" s="327"/>
      <c r="L20" s="327"/>
      <c r="M20" s="327"/>
      <c r="N20" s="327"/>
      <c r="O20" s="328"/>
    </row>
    <row r="21" ht="12.75" customHeight="1">
      <c r="A21" s="313" t="s">
        <v>783</v>
      </c>
    </row>
    <row r="22" ht="12.75" customHeight="1"/>
    <row r="23" spans="1:3" ht="26.25" customHeight="1">
      <c r="A23" s="313" t="s">
        <v>850</v>
      </c>
      <c r="C23" s="314"/>
    </row>
    <row r="24" ht="12.75" customHeight="1">
      <c r="C24" s="315"/>
    </row>
    <row r="25" spans="1:3" ht="26.25" customHeight="1">
      <c r="A25" s="313" t="s">
        <v>851</v>
      </c>
      <c r="C25" s="314"/>
    </row>
    <row r="26" ht="12.75" customHeight="1">
      <c r="C26" s="315"/>
    </row>
    <row r="27" spans="1:3" ht="26.25" customHeight="1">
      <c r="A27" s="313" t="s">
        <v>852</v>
      </c>
      <c r="C27" s="314"/>
    </row>
    <row r="28" spans="1:3" ht="26.25" customHeight="1">
      <c r="A28" s="376" t="s">
        <v>853</v>
      </c>
      <c r="C28" s="315"/>
    </row>
    <row r="29" spans="3:15" s="329" customFormat="1" ht="21" customHeight="1">
      <c r="C29" s="399" t="s">
        <v>690</v>
      </c>
      <c r="D29" s="399"/>
      <c r="E29" s="399"/>
      <c r="H29" s="399" t="s">
        <v>691</v>
      </c>
      <c r="I29" s="399"/>
      <c r="J29" s="399"/>
      <c r="M29" s="399" t="s">
        <v>692</v>
      </c>
      <c r="N29" s="399"/>
      <c r="O29" s="399"/>
    </row>
    <row r="30" spans="3:15" ht="21" customHeight="1">
      <c r="C30" s="330" t="s">
        <v>3</v>
      </c>
      <c r="D30" s="330"/>
      <c r="E30" s="330" t="s">
        <v>693</v>
      </c>
      <c r="F30" s="330"/>
      <c r="G30" s="330"/>
      <c r="H30" s="330" t="s">
        <v>3</v>
      </c>
      <c r="I30" s="330"/>
      <c r="J30" s="330" t="s">
        <v>693</v>
      </c>
      <c r="K30" s="330"/>
      <c r="L30" s="330"/>
      <c r="M30" s="330" t="s">
        <v>3</v>
      </c>
      <c r="N30" s="330"/>
      <c r="O30" s="330" t="s">
        <v>693</v>
      </c>
    </row>
    <row r="31" ht="12.75" customHeight="1"/>
    <row r="32" spans="1:15" ht="26.25" customHeight="1">
      <c r="A32" s="313" t="s">
        <v>694</v>
      </c>
      <c r="C32" s="314"/>
      <c r="E32" s="314"/>
      <c r="H32" s="314"/>
      <c r="J32" s="314"/>
      <c r="M32" s="314"/>
      <c r="O32" s="314"/>
    </row>
    <row r="33" ht="12.75" customHeight="1"/>
    <row r="34" spans="1:15" ht="26.25" customHeight="1">
      <c r="A34" s="313" t="s">
        <v>695</v>
      </c>
      <c r="C34" s="314"/>
      <c r="E34" s="314"/>
      <c r="H34" s="314"/>
      <c r="J34" s="314"/>
      <c r="M34" s="314"/>
      <c r="O34" s="314"/>
    </row>
    <row r="35" ht="12.75" customHeight="1"/>
    <row r="36" spans="1:15" ht="26.25" customHeight="1">
      <c r="A36" s="313" t="s">
        <v>696</v>
      </c>
      <c r="C36" s="314"/>
      <c r="E36" s="314"/>
      <c r="H36" s="314"/>
      <c r="J36" s="314"/>
      <c r="M36" s="314"/>
      <c r="O36" s="314"/>
    </row>
    <row r="37" spans="1:15" ht="26.25" customHeight="1">
      <c r="A37" s="313" t="s">
        <v>697</v>
      </c>
      <c r="C37" s="325"/>
      <c r="E37" s="325"/>
      <c r="H37" s="325"/>
      <c r="J37" s="325"/>
      <c r="M37" s="325"/>
      <c r="O37" s="325"/>
    </row>
    <row r="38" spans="1:15" ht="26.25" customHeight="1">
      <c r="A38" s="313" t="s">
        <v>698</v>
      </c>
      <c r="C38" s="325"/>
      <c r="E38" s="325"/>
      <c r="H38" s="325"/>
      <c r="J38" s="325"/>
      <c r="M38" s="325"/>
      <c r="O38" s="325"/>
    </row>
    <row r="39" spans="1:15" ht="26.25" customHeight="1">
      <c r="A39" s="313" t="s">
        <v>699</v>
      </c>
      <c r="C39" s="325"/>
      <c r="E39" s="325"/>
      <c r="H39" s="325"/>
      <c r="J39" s="325"/>
      <c r="M39" s="325"/>
      <c r="O39" s="325"/>
    </row>
    <row r="40" ht="12.75" customHeight="1"/>
    <row r="41" spans="1:15" ht="26.25" customHeight="1">
      <c r="A41" s="313" t="s">
        <v>700</v>
      </c>
      <c r="C41" s="314"/>
      <c r="E41" s="314"/>
      <c r="H41" s="314"/>
      <c r="J41" s="314"/>
      <c r="M41" s="314"/>
      <c r="O41" s="314"/>
    </row>
    <row r="42" spans="1:15" ht="26.25" customHeight="1">
      <c r="A42" s="313" t="s">
        <v>701</v>
      </c>
      <c r="C42" s="325"/>
      <c r="E42" s="325"/>
      <c r="H42" s="325"/>
      <c r="J42" s="325"/>
      <c r="M42" s="325"/>
      <c r="O42" s="325"/>
    </row>
    <row r="43" spans="1:15" ht="26.25" customHeight="1">
      <c r="A43" s="313" t="s">
        <v>702</v>
      </c>
      <c r="C43" s="325"/>
      <c r="E43" s="325"/>
      <c r="H43" s="325"/>
      <c r="J43" s="325"/>
      <c r="M43" s="325"/>
      <c r="O43" s="325"/>
    </row>
    <row r="44" spans="1:15" ht="26.25" customHeight="1">
      <c r="A44" s="313" t="s">
        <v>703</v>
      </c>
      <c r="C44" s="325"/>
      <c r="E44" s="325"/>
      <c r="H44" s="325"/>
      <c r="J44" s="325"/>
      <c r="M44" s="325"/>
      <c r="O44" s="325"/>
    </row>
    <row r="45" spans="3:15" ht="12.75" customHeight="1">
      <c r="C45" s="315"/>
      <c r="E45" s="315"/>
      <c r="H45" s="315"/>
      <c r="J45" s="315"/>
      <c r="M45" s="315"/>
      <c r="O45" s="315"/>
    </row>
    <row r="46" spans="1:13" ht="26.25" customHeight="1">
      <c r="A46" s="313" t="s">
        <v>704</v>
      </c>
      <c r="C46" s="314"/>
      <c r="H46" s="314"/>
      <c r="M46" s="325"/>
    </row>
    <row r="47" ht="12.75" customHeight="1"/>
    <row r="48" spans="1:15" ht="26.25" customHeight="1">
      <c r="A48" s="313" t="s">
        <v>845</v>
      </c>
      <c r="E48" s="314"/>
      <c r="J48" s="314"/>
      <c r="O48" s="314"/>
    </row>
    <row r="49" ht="12.75" customHeight="1"/>
    <row r="50" spans="1:15" ht="26.25" customHeight="1">
      <c r="A50" s="313" t="s">
        <v>846</v>
      </c>
      <c r="E50" s="314"/>
      <c r="J50" s="314"/>
      <c r="O50" s="314"/>
    </row>
    <row r="51" ht="12.75" customHeight="1"/>
    <row r="52" spans="1:15" ht="26.25" customHeight="1">
      <c r="A52" s="313" t="s">
        <v>847</v>
      </c>
      <c r="E52" s="314"/>
      <c r="J52" s="314"/>
      <c r="O52" s="314"/>
    </row>
  </sheetData>
  <sheetProtection/>
  <mergeCells count="3">
    <mergeCell ref="C29:E29"/>
    <mergeCell ref="H29:J29"/>
    <mergeCell ref="M29:O29"/>
  </mergeCells>
  <printOptions/>
  <pageMargins left="0.75" right="0.75" top="1" bottom="1" header="0.5" footer="0.5"/>
  <pageSetup fitToHeight="1" fitToWidth="1"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Sheet3"/>
  <dimension ref="A1:DU70"/>
  <sheetViews>
    <sheetView showGridLines="0" showZeros="0" zoomScale="75" zoomScaleNormal="75" zoomScaleSheetLayoutView="100" zoomScalePageLayoutView="0" workbookViewId="0" topLeftCell="A1">
      <selection activeCell="D11" sqref="D11:K11"/>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7.710937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5.421875" style="3" customWidth="1"/>
    <col min="23" max="23" width="8.7109375" style="3" customWidth="1"/>
    <col min="24" max="24" width="5.00390625" style="3" customWidth="1"/>
    <col min="25" max="26" width="0.85546875" style="3" customWidth="1"/>
    <col min="27" max="27" width="8.7109375" style="3" customWidth="1"/>
    <col min="28" max="28" width="5.7109375" style="3" customWidth="1"/>
    <col min="29" max="30" width="0.85546875" style="3" customWidth="1"/>
    <col min="31" max="31" width="8.140625" style="3" customWidth="1"/>
    <col min="32" max="32" width="4.7109375" style="3" customWidth="1"/>
    <col min="33" max="34" width="0.85546875" style="3" customWidth="1"/>
    <col min="35" max="35" width="8.140625" style="3" customWidth="1"/>
    <col min="36" max="36" width="5.140625" style="3" customWidth="1"/>
    <col min="37" max="37" width="0.85546875" style="3" customWidth="1"/>
    <col min="38" max="38" width="8.140625" style="3" customWidth="1"/>
    <col min="39" max="39" width="4.7109375" style="3" customWidth="1"/>
    <col min="40" max="41" width="0.9921875" style="3" customWidth="1"/>
    <col min="42" max="42" width="8.140625" style="3" customWidth="1"/>
    <col min="43" max="43" width="6.140625" style="3" customWidth="1"/>
    <col min="44" max="44" width="1.7109375" style="3" customWidth="1"/>
    <col min="45" max="45" width="33.71093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15.710937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5"/>
      <c r="AT1" s="6"/>
      <c r="DS1"/>
      <c r="DT1"/>
      <c r="DU1"/>
    </row>
    <row r="2" spans="1:44" ht="13.5" customHeight="1" thickBot="1">
      <c r="A2" s="420" t="str">
        <f>"WATER BOILING TEST - VERSION "&amp;version&amp;" - TEST #2"</f>
        <v>WATER BOILING TEST - VERSION 4.1.2 - TEST #2</v>
      </c>
      <c r="B2" s="420"/>
      <c r="C2" s="420"/>
      <c r="D2" s="420"/>
      <c r="E2" s="420"/>
      <c r="F2" s="420"/>
      <c r="G2" s="420"/>
      <c r="H2" s="420"/>
      <c r="I2" s="420"/>
      <c r="J2" s="420"/>
      <c r="K2" s="420"/>
      <c r="L2" s="420"/>
      <c r="M2" s="420"/>
      <c r="N2" s="420"/>
      <c r="O2" s="420"/>
      <c r="P2" s="420"/>
      <c r="Q2" s="420"/>
      <c r="R2" s="420"/>
      <c r="S2" s="420"/>
      <c r="T2" s="10"/>
      <c r="U2" s="352" t="str">
        <f>"TEST #2 "&amp;D7</f>
        <v>TEST #2 </v>
      </c>
      <c r="V2" s="11"/>
      <c r="W2" s="421" t="s">
        <v>0</v>
      </c>
      <c r="X2" s="421"/>
      <c r="Y2" s="421"/>
      <c r="Z2" s="421"/>
      <c r="AA2" s="421"/>
      <c r="AB2" s="421"/>
      <c r="AC2" s="353"/>
      <c r="AD2" s="12"/>
      <c r="AE2" s="421" t="s">
        <v>1</v>
      </c>
      <c r="AF2" s="421"/>
      <c r="AG2" s="421"/>
      <c r="AH2" s="421"/>
      <c r="AI2" s="421"/>
      <c r="AJ2" s="421"/>
      <c r="AK2" s="13"/>
      <c r="AL2" s="421" t="s">
        <v>2</v>
      </c>
      <c r="AM2" s="421"/>
      <c r="AN2" s="421"/>
      <c r="AO2" s="421"/>
      <c r="AP2" s="421"/>
      <c r="AQ2" s="421"/>
      <c r="AR2" s="14"/>
    </row>
    <row r="3" spans="1:44" ht="12.75" customHeight="1">
      <c r="A3" s="16"/>
      <c r="B3" s="17" t="s">
        <v>760</v>
      </c>
      <c r="C3" s="17"/>
      <c r="D3" s="17"/>
      <c r="E3" s="17"/>
      <c r="F3" s="17"/>
      <c r="G3" s="17"/>
      <c r="H3" s="17"/>
      <c r="I3" s="17"/>
      <c r="J3" s="17"/>
      <c r="K3" s="17"/>
      <c r="L3" s="17"/>
      <c r="M3" s="17"/>
      <c r="N3" s="17"/>
      <c r="O3" s="17"/>
      <c r="P3" s="17"/>
      <c r="Q3" s="17"/>
      <c r="R3" s="17"/>
      <c r="S3" s="18"/>
      <c r="T3" s="19"/>
      <c r="U3" s="20"/>
      <c r="V3" s="21"/>
      <c r="W3" s="412" t="s">
        <v>3</v>
      </c>
      <c r="X3" s="412"/>
      <c r="Y3" s="23"/>
      <c r="Z3" s="13"/>
      <c r="AA3" s="413" t="s">
        <v>4</v>
      </c>
      <c r="AB3" s="413"/>
      <c r="AC3" s="24"/>
      <c r="AD3" s="12"/>
      <c r="AE3" s="414" t="s">
        <v>3</v>
      </c>
      <c r="AF3" s="414"/>
      <c r="AG3" s="23"/>
      <c r="AH3" s="13"/>
      <c r="AI3" s="413" t="s">
        <v>4</v>
      </c>
      <c r="AJ3" s="413"/>
      <c r="AK3" s="12"/>
      <c r="AL3" s="422" t="s">
        <v>5</v>
      </c>
      <c r="AM3" s="422"/>
      <c r="AN3" s="23"/>
      <c r="AO3" s="13"/>
      <c r="AP3" s="409" t="s">
        <v>6</v>
      </c>
      <c r="AQ3" s="409"/>
      <c r="AR3" s="14"/>
    </row>
    <row r="4" spans="1:44" ht="12.75" customHeight="1">
      <c r="A4" s="25"/>
      <c r="B4" s="26" t="s">
        <v>761</v>
      </c>
      <c r="C4" s="26"/>
      <c r="D4" s="26"/>
      <c r="E4" s="26"/>
      <c r="F4" s="26"/>
      <c r="G4" s="26"/>
      <c r="H4" s="26"/>
      <c r="I4" s="26"/>
      <c r="J4" s="27"/>
      <c r="K4" s="27"/>
      <c r="L4" s="27"/>
      <c r="M4" s="27"/>
      <c r="N4" s="27"/>
      <c r="O4" s="27"/>
      <c r="P4" s="27"/>
      <c r="Q4" s="27"/>
      <c r="R4" s="27"/>
      <c r="S4" s="15"/>
      <c r="T4" s="28"/>
      <c r="U4" s="29"/>
      <c r="V4" s="30"/>
      <c r="W4" s="31"/>
      <c r="X4" s="31"/>
      <c r="Y4" s="32"/>
      <c r="Z4" s="33"/>
      <c r="AA4" s="416" t="s">
        <v>7</v>
      </c>
      <c r="AB4" s="416"/>
      <c r="AC4" s="24"/>
      <c r="AD4" s="12"/>
      <c r="AE4" s="31"/>
      <c r="AF4" s="31"/>
      <c r="AG4" s="32"/>
      <c r="AH4" s="33"/>
      <c r="AI4" s="416" t="s">
        <v>7</v>
      </c>
      <c r="AJ4" s="416"/>
      <c r="AK4" s="12"/>
      <c r="AL4" s="417" t="s">
        <v>7</v>
      </c>
      <c r="AM4" s="417"/>
      <c r="AN4" s="34"/>
      <c r="AO4" s="31"/>
      <c r="AP4" s="418" t="s">
        <v>8</v>
      </c>
      <c r="AQ4" s="418"/>
      <c r="AR4" s="14"/>
    </row>
    <row r="5" spans="1:44" ht="13.5" customHeight="1" thickBot="1">
      <c r="A5" s="25"/>
      <c r="B5" s="35" t="s">
        <v>9</v>
      </c>
      <c r="D5" s="2"/>
      <c r="E5" s="2"/>
      <c r="F5" s="2"/>
      <c r="G5" s="2"/>
      <c r="S5" s="15"/>
      <c r="T5" s="28"/>
      <c r="U5" s="36" t="s">
        <v>10</v>
      </c>
      <c r="V5" s="37" t="s">
        <v>11</v>
      </c>
      <c r="W5" s="38" t="s">
        <v>12</v>
      </c>
      <c r="X5" s="38" t="s">
        <v>13</v>
      </c>
      <c r="Y5" s="39"/>
      <c r="Z5" s="38"/>
      <c r="AA5" s="38" t="s">
        <v>12</v>
      </c>
      <c r="AB5" s="37" t="s">
        <v>13</v>
      </c>
      <c r="AC5" s="24"/>
      <c r="AD5" s="12"/>
      <c r="AE5" s="38" t="s">
        <v>12</v>
      </c>
      <c r="AF5" s="38" t="s">
        <v>13</v>
      </c>
      <c r="AG5" s="40"/>
      <c r="AH5" s="41"/>
      <c r="AI5" s="38" t="s">
        <v>12</v>
      </c>
      <c r="AJ5" s="37" t="s">
        <v>13</v>
      </c>
      <c r="AK5" s="12"/>
      <c r="AL5" s="38" t="s">
        <v>12</v>
      </c>
      <c r="AM5" s="38" t="s">
        <v>13</v>
      </c>
      <c r="AN5" s="40"/>
      <c r="AO5" s="41"/>
      <c r="AP5" s="38" t="s">
        <v>12</v>
      </c>
      <c r="AQ5" s="37" t="s">
        <v>13</v>
      </c>
      <c r="AR5" s="14"/>
    </row>
    <row r="6" spans="1:44" ht="15.75" customHeight="1">
      <c r="A6" s="25"/>
      <c r="B6" s="2" t="s">
        <v>14</v>
      </c>
      <c r="D6" s="419"/>
      <c r="E6" s="419"/>
      <c r="F6" s="419"/>
      <c r="G6" s="419"/>
      <c r="H6" s="419"/>
      <c r="I6" s="419"/>
      <c r="J6" s="419"/>
      <c r="K6" s="419"/>
      <c r="M6" s="410" t="s">
        <v>854</v>
      </c>
      <c r="N6" s="410"/>
      <c r="O6" s="410"/>
      <c r="P6" s="410"/>
      <c r="Q6" s="377"/>
      <c r="R6" s="377"/>
      <c r="S6" s="15"/>
      <c r="T6" s="28"/>
      <c r="U6" s="30" t="s">
        <v>727</v>
      </c>
      <c r="V6" s="24" t="s">
        <v>15</v>
      </c>
      <c r="W6" s="42"/>
      <c r="X6" s="43" t="s">
        <v>16</v>
      </c>
      <c r="Y6" s="44"/>
      <c r="Z6" s="43"/>
      <c r="AA6" s="42"/>
      <c r="AB6" s="45" t="s">
        <v>17</v>
      </c>
      <c r="AC6" s="45"/>
      <c r="AD6" s="12"/>
      <c r="AE6" s="42"/>
      <c r="AF6" s="43" t="s">
        <v>18</v>
      </c>
      <c r="AG6" s="46"/>
      <c r="AH6" s="13"/>
      <c r="AI6" s="42"/>
      <c r="AJ6" s="45" t="s">
        <v>19</v>
      </c>
      <c r="AK6" s="12"/>
      <c r="AL6" s="42"/>
      <c r="AM6" s="43" t="s">
        <v>20</v>
      </c>
      <c r="AN6" s="46"/>
      <c r="AO6" s="13"/>
      <c r="AP6" s="42"/>
      <c r="AQ6" s="45" t="s">
        <v>21</v>
      </c>
      <c r="AR6" s="14"/>
    </row>
    <row r="7" spans="1:44" ht="15.75" customHeight="1">
      <c r="A7" s="25"/>
      <c r="B7" s="2" t="s">
        <v>30</v>
      </c>
      <c r="D7" s="419"/>
      <c r="E7" s="419"/>
      <c r="F7" s="419"/>
      <c r="G7" s="419"/>
      <c r="H7" s="419"/>
      <c r="I7" s="419"/>
      <c r="J7" s="419"/>
      <c r="K7" s="419"/>
      <c r="M7" s="411" t="s">
        <v>855</v>
      </c>
      <c r="N7" s="411"/>
      <c r="O7" s="411"/>
      <c r="P7" s="411"/>
      <c r="Q7" s="377"/>
      <c r="R7" s="377"/>
      <c r="S7" s="15"/>
      <c r="T7" s="28"/>
      <c r="U7" s="30" t="s">
        <v>22</v>
      </c>
      <c r="V7" s="24" t="s">
        <v>23</v>
      </c>
      <c r="W7" s="47"/>
      <c r="X7" s="43" t="s">
        <v>24</v>
      </c>
      <c r="Y7" s="44"/>
      <c r="Z7" s="43"/>
      <c r="AA7" s="47"/>
      <c r="AB7" s="45" t="s">
        <v>25</v>
      </c>
      <c r="AC7" s="45"/>
      <c r="AD7" s="12"/>
      <c r="AE7" s="47"/>
      <c r="AF7" s="43" t="s">
        <v>26</v>
      </c>
      <c r="AG7" s="46"/>
      <c r="AH7" s="13"/>
      <c r="AI7" s="47"/>
      <c r="AJ7" s="45" t="s">
        <v>27</v>
      </c>
      <c r="AK7" s="12"/>
      <c r="AL7" s="47"/>
      <c r="AM7" s="43" t="s">
        <v>28</v>
      </c>
      <c r="AN7" s="46"/>
      <c r="AO7" s="13"/>
      <c r="AP7" s="47"/>
      <c r="AQ7" s="45" t="s">
        <v>29</v>
      </c>
      <c r="AR7" s="14"/>
    </row>
    <row r="8" spans="1:44" ht="15.75" customHeight="1">
      <c r="A8" s="25"/>
      <c r="B8" s="2" t="s">
        <v>39</v>
      </c>
      <c r="D8" s="424"/>
      <c r="E8" s="419"/>
      <c r="F8" s="419"/>
      <c r="G8" s="419"/>
      <c r="H8" s="419"/>
      <c r="I8" s="419"/>
      <c r="J8" s="419"/>
      <c r="K8" s="419"/>
      <c r="M8" s="377"/>
      <c r="N8" s="377"/>
      <c r="O8" s="377"/>
      <c r="P8" s="377"/>
      <c r="Q8" s="377"/>
      <c r="R8" s="377"/>
      <c r="S8" s="15"/>
      <c r="T8" s="28"/>
      <c r="U8" s="30" t="s">
        <v>31</v>
      </c>
      <c r="V8" s="24" t="s">
        <v>32</v>
      </c>
      <c r="W8" s="48"/>
      <c r="X8" s="49" t="s">
        <v>33</v>
      </c>
      <c r="Y8" s="50"/>
      <c r="Z8" s="49"/>
      <c r="AA8" s="48"/>
      <c r="AB8" s="51" t="s">
        <v>34</v>
      </c>
      <c r="AC8" s="51"/>
      <c r="AD8" s="52"/>
      <c r="AE8" s="48"/>
      <c r="AF8" s="49" t="s">
        <v>35</v>
      </c>
      <c r="AG8" s="53"/>
      <c r="AH8" s="54"/>
      <c r="AI8" s="48"/>
      <c r="AJ8" s="45" t="s">
        <v>36</v>
      </c>
      <c r="AK8" s="12"/>
      <c r="AL8" s="47"/>
      <c r="AM8" s="43" t="s">
        <v>37</v>
      </c>
      <c r="AN8" s="46"/>
      <c r="AO8" s="13"/>
      <c r="AP8" s="48"/>
      <c r="AQ8" s="45" t="s">
        <v>38</v>
      </c>
      <c r="AR8" s="14"/>
    </row>
    <row r="9" spans="1:44" ht="15.75" customHeight="1">
      <c r="A9" s="25"/>
      <c r="B9" s="2" t="s">
        <v>53</v>
      </c>
      <c r="D9" s="425">
        <f>'General Information'!C6</f>
        <v>0</v>
      </c>
      <c r="E9" s="425"/>
      <c r="F9" s="425"/>
      <c r="G9" s="425"/>
      <c r="H9" s="425"/>
      <c r="I9" s="425"/>
      <c r="J9" s="425"/>
      <c r="K9" s="425"/>
      <c r="M9" s="377"/>
      <c r="N9" s="377"/>
      <c r="O9" s="377"/>
      <c r="P9" s="377"/>
      <c r="Q9" s="377"/>
      <c r="R9" s="377"/>
      <c r="S9" s="15"/>
      <c r="T9" s="28"/>
      <c r="U9" s="55" t="s">
        <v>40</v>
      </c>
      <c r="V9" s="24" t="s">
        <v>32</v>
      </c>
      <c r="W9" s="48"/>
      <c r="X9" s="49" t="s">
        <v>193</v>
      </c>
      <c r="Y9" s="50"/>
      <c r="Z9" s="49"/>
      <c r="AA9" s="48"/>
      <c r="AB9" s="51" t="s">
        <v>41</v>
      </c>
      <c r="AC9" s="51"/>
      <c r="AD9" s="52"/>
      <c r="AE9" s="48"/>
      <c r="AF9" s="49" t="s">
        <v>42</v>
      </c>
      <c r="AG9" s="53"/>
      <c r="AH9" s="54"/>
      <c r="AI9" s="48"/>
      <c r="AJ9" s="45" t="s">
        <v>43</v>
      </c>
      <c r="AK9" s="12"/>
      <c r="AL9" s="47"/>
      <c r="AM9" s="56" t="s">
        <v>44</v>
      </c>
      <c r="AN9" s="57"/>
      <c r="AO9" s="58"/>
      <c r="AP9" s="48"/>
      <c r="AQ9" s="59" t="s">
        <v>45</v>
      </c>
      <c r="AR9" s="14"/>
    </row>
    <row r="10" spans="1:44" ht="15.75" customHeight="1">
      <c r="A10" s="25"/>
      <c r="B10" s="2" t="s">
        <v>46</v>
      </c>
      <c r="D10" s="426">
        <f>'General Information'!C8</f>
        <v>0</v>
      </c>
      <c r="E10" s="426"/>
      <c r="F10" s="426"/>
      <c r="G10" s="426"/>
      <c r="H10" s="426"/>
      <c r="I10" s="426"/>
      <c r="J10" s="426"/>
      <c r="K10" s="426"/>
      <c r="S10" s="15"/>
      <c r="T10" s="28"/>
      <c r="U10" s="55" t="s">
        <v>47</v>
      </c>
      <c r="V10" s="24" t="s">
        <v>32</v>
      </c>
      <c r="W10" s="48"/>
      <c r="X10" s="49" t="s">
        <v>194</v>
      </c>
      <c r="Y10" s="50"/>
      <c r="Z10" s="49"/>
      <c r="AA10" s="48"/>
      <c r="AB10" s="51" t="s">
        <v>48</v>
      </c>
      <c r="AC10" s="51"/>
      <c r="AD10" s="52"/>
      <c r="AE10" s="48"/>
      <c r="AF10" s="49" t="s">
        <v>49</v>
      </c>
      <c r="AG10" s="53"/>
      <c r="AH10" s="54"/>
      <c r="AI10" s="48"/>
      <c r="AJ10" s="45" t="s">
        <v>50</v>
      </c>
      <c r="AK10" s="12"/>
      <c r="AL10" s="47"/>
      <c r="AM10" s="56" t="s">
        <v>51</v>
      </c>
      <c r="AN10" s="57"/>
      <c r="AO10" s="58"/>
      <c r="AP10" s="48"/>
      <c r="AQ10" s="59" t="s">
        <v>52</v>
      </c>
      <c r="AR10" s="14"/>
    </row>
    <row r="11" spans="1:44" ht="15.75" customHeight="1">
      <c r="A11" s="25"/>
      <c r="B11" s="2" t="s">
        <v>61</v>
      </c>
      <c r="D11" s="423">
        <f>'General Information'!J3</f>
        <v>0</v>
      </c>
      <c r="E11" s="423"/>
      <c r="F11" s="423"/>
      <c r="G11" s="423"/>
      <c r="H11" s="423"/>
      <c r="I11" s="423"/>
      <c r="J11" s="423"/>
      <c r="K11" s="423"/>
      <c r="S11" s="15"/>
      <c r="T11" s="28"/>
      <c r="U11" s="55" t="s">
        <v>54</v>
      </c>
      <c r="V11" s="24" t="s">
        <v>32</v>
      </c>
      <c r="W11" s="48"/>
      <c r="X11" s="49" t="s">
        <v>55</v>
      </c>
      <c r="Y11" s="50"/>
      <c r="Z11" s="49"/>
      <c r="AA11" s="48"/>
      <c r="AB11" s="51" t="s">
        <v>56</v>
      </c>
      <c r="AC11" s="51"/>
      <c r="AD11" s="52"/>
      <c r="AE11" s="48"/>
      <c r="AF11" s="49" t="s">
        <v>57</v>
      </c>
      <c r="AG11" s="53"/>
      <c r="AH11" s="54"/>
      <c r="AI11" s="48"/>
      <c r="AJ11" s="45" t="s">
        <v>58</v>
      </c>
      <c r="AK11" s="12"/>
      <c r="AL11" s="47"/>
      <c r="AM11" s="56" t="s">
        <v>59</v>
      </c>
      <c r="AN11" s="57"/>
      <c r="AO11" s="58"/>
      <c r="AP11" s="48"/>
      <c r="AQ11" s="59" t="s">
        <v>60</v>
      </c>
      <c r="AR11" s="14"/>
    </row>
    <row r="12" spans="1:44" ht="15.75" customHeight="1">
      <c r="A12" s="25"/>
      <c r="B12" s="2"/>
      <c r="D12" s="60"/>
      <c r="E12" s="60"/>
      <c r="F12" s="60"/>
      <c r="G12" s="60"/>
      <c r="H12" s="60"/>
      <c r="I12" s="60"/>
      <c r="J12" s="60"/>
      <c r="S12" s="15"/>
      <c r="T12" s="28"/>
      <c r="U12" s="30" t="s">
        <v>62</v>
      </c>
      <c r="V12" s="24" t="s">
        <v>23</v>
      </c>
      <c r="W12" s="47"/>
      <c r="X12" s="43" t="s">
        <v>63</v>
      </c>
      <c r="Y12" s="44"/>
      <c r="Z12" s="43"/>
      <c r="AA12" s="47"/>
      <c r="AB12" s="45" t="s">
        <v>64</v>
      </c>
      <c r="AC12" s="45"/>
      <c r="AD12" s="12"/>
      <c r="AE12" s="47"/>
      <c r="AF12" s="43" t="s">
        <v>65</v>
      </c>
      <c r="AG12" s="46"/>
      <c r="AH12" s="13"/>
      <c r="AI12" s="47"/>
      <c r="AJ12" s="45" t="s">
        <v>66</v>
      </c>
      <c r="AK12" s="12"/>
      <c r="AL12" s="47"/>
      <c r="AM12" s="56" t="s">
        <v>67</v>
      </c>
      <c r="AN12" s="57"/>
      <c r="AO12" s="61"/>
      <c r="AP12" s="47"/>
      <c r="AQ12" s="59" t="s">
        <v>68</v>
      </c>
      <c r="AR12" s="14"/>
    </row>
    <row r="13" spans="1:44" ht="15.75" customHeight="1" thickBot="1">
      <c r="A13" s="25"/>
      <c r="B13" s="62" t="s">
        <v>83</v>
      </c>
      <c r="C13" s="63"/>
      <c r="D13" s="64"/>
      <c r="E13" s="65"/>
      <c r="F13" s="64"/>
      <c r="G13" s="64"/>
      <c r="H13" s="64"/>
      <c r="I13" s="64"/>
      <c r="J13" s="64"/>
      <c r="K13" s="66"/>
      <c r="L13" s="66"/>
      <c r="M13" s="66"/>
      <c r="N13" s="66"/>
      <c r="O13" s="66"/>
      <c r="P13" s="66"/>
      <c r="Q13" s="66"/>
      <c r="R13" s="66"/>
      <c r="S13" s="15"/>
      <c r="T13" s="28"/>
      <c r="U13" s="55" t="s">
        <v>69</v>
      </c>
      <c r="V13" s="24" t="s">
        <v>23</v>
      </c>
      <c r="W13" s="47"/>
      <c r="X13" s="43" t="s">
        <v>70</v>
      </c>
      <c r="Y13" s="44"/>
      <c r="Z13" s="43"/>
      <c r="AA13" s="47"/>
      <c r="AB13" s="45" t="s">
        <v>71</v>
      </c>
      <c r="AC13" s="45"/>
      <c r="AD13" s="12"/>
      <c r="AE13" s="47"/>
      <c r="AF13" s="43" t="s">
        <v>72</v>
      </c>
      <c r="AG13" s="46"/>
      <c r="AH13" s="13"/>
      <c r="AI13" s="47"/>
      <c r="AJ13" s="45" t="s">
        <v>73</v>
      </c>
      <c r="AK13" s="12"/>
      <c r="AL13" s="47"/>
      <c r="AM13" s="56" t="s">
        <v>74</v>
      </c>
      <c r="AN13" s="57"/>
      <c r="AO13" s="58"/>
      <c r="AP13" s="47"/>
      <c r="AQ13" s="59" t="s">
        <v>75</v>
      </c>
      <c r="AR13" s="14"/>
    </row>
    <row r="14" spans="1:44" ht="15.75" customHeight="1">
      <c r="A14" s="25"/>
      <c r="B14" s="415" t="s">
        <v>91</v>
      </c>
      <c r="C14" s="415"/>
      <c r="D14" s="415"/>
      <c r="E14" s="67" t="s">
        <v>92</v>
      </c>
      <c r="F14" s="67"/>
      <c r="G14" s="67" t="s">
        <v>93</v>
      </c>
      <c r="H14" s="68"/>
      <c r="I14" s="69" t="s">
        <v>13</v>
      </c>
      <c r="J14" s="68"/>
      <c r="K14" s="68" t="s">
        <v>91</v>
      </c>
      <c r="L14" s="68"/>
      <c r="M14" s="68"/>
      <c r="N14" s="67" t="s">
        <v>92</v>
      </c>
      <c r="O14" s="67"/>
      <c r="P14" s="68" t="s">
        <v>93</v>
      </c>
      <c r="Q14" s="68"/>
      <c r="R14" s="69" t="s">
        <v>13</v>
      </c>
      <c r="S14" s="15"/>
      <c r="T14" s="28"/>
      <c r="U14" s="55" t="s">
        <v>76</v>
      </c>
      <c r="V14" s="24" t="s">
        <v>23</v>
      </c>
      <c r="W14" s="47"/>
      <c r="X14" s="43" t="s">
        <v>77</v>
      </c>
      <c r="Y14" s="44"/>
      <c r="Z14" s="43"/>
      <c r="AA14" s="47"/>
      <c r="AB14" s="45" t="s">
        <v>78</v>
      </c>
      <c r="AC14" s="45"/>
      <c r="AD14" s="12"/>
      <c r="AE14" s="47"/>
      <c r="AF14" s="43" t="s">
        <v>79</v>
      </c>
      <c r="AG14" s="46"/>
      <c r="AH14" s="13"/>
      <c r="AI14" s="47"/>
      <c r="AJ14" s="45" t="s">
        <v>80</v>
      </c>
      <c r="AK14" s="12"/>
      <c r="AL14" s="47"/>
      <c r="AM14" s="56" t="s">
        <v>81</v>
      </c>
      <c r="AN14" s="57"/>
      <c r="AO14" s="58"/>
      <c r="AP14" s="47"/>
      <c r="AQ14" s="59" t="s">
        <v>82</v>
      </c>
      <c r="AR14" s="14"/>
    </row>
    <row r="15" spans="1:44" ht="15.75" customHeight="1">
      <c r="A15" s="25"/>
      <c r="B15" s="428" t="s">
        <v>711</v>
      </c>
      <c r="C15" s="428"/>
      <c r="D15" s="428"/>
      <c r="E15" s="73">
        <v>25</v>
      </c>
      <c r="F15" s="74"/>
      <c r="G15" s="2" t="s">
        <v>32</v>
      </c>
      <c r="J15" s="75"/>
      <c r="K15" s="428" t="s">
        <v>96</v>
      </c>
      <c r="L15" s="428"/>
      <c r="M15" s="428"/>
      <c r="N15" s="265"/>
      <c r="O15" s="74"/>
      <c r="P15" s="22" t="s">
        <v>23</v>
      </c>
      <c r="R15" s="43" t="s">
        <v>97</v>
      </c>
      <c r="S15" s="15"/>
      <c r="T15" s="28"/>
      <c r="U15" s="55" t="s">
        <v>84</v>
      </c>
      <c r="V15" s="24" t="s">
        <v>23</v>
      </c>
      <c r="W15" s="47"/>
      <c r="X15" s="43" t="s">
        <v>85</v>
      </c>
      <c r="Y15" s="44"/>
      <c r="Z15" s="43"/>
      <c r="AA15" s="47"/>
      <c r="AB15" s="45" t="s">
        <v>86</v>
      </c>
      <c r="AC15" s="45"/>
      <c r="AD15" s="12"/>
      <c r="AE15" s="47"/>
      <c r="AF15" s="43" t="s">
        <v>87</v>
      </c>
      <c r="AG15" s="46"/>
      <c r="AH15" s="13"/>
      <c r="AI15" s="47"/>
      <c r="AJ15" s="45" t="s">
        <v>88</v>
      </c>
      <c r="AK15" s="12"/>
      <c r="AL15" s="47"/>
      <c r="AM15" s="56" t="s">
        <v>89</v>
      </c>
      <c r="AN15" s="57"/>
      <c r="AO15" s="58"/>
      <c r="AP15" s="47"/>
      <c r="AQ15" s="59" t="s">
        <v>90</v>
      </c>
      <c r="AR15" s="14"/>
    </row>
    <row r="16" spans="1:44" ht="15.75" customHeight="1">
      <c r="A16" s="25"/>
      <c r="B16" s="428" t="s">
        <v>733</v>
      </c>
      <c r="C16" s="428"/>
      <c r="D16" s="428"/>
      <c r="E16" s="74">
        <v>1</v>
      </c>
      <c r="F16" s="74"/>
      <c r="G16" s="2"/>
      <c r="J16" s="75"/>
      <c r="K16" s="428" t="s">
        <v>102</v>
      </c>
      <c r="L16" s="428"/>
      <c r="M16" s="428"/>
      <c r="N16" s="265"/>
      <c r="O16" s="74"/>
      <c r="P16" s="22" t="s">
        <v>23</v>
      </c>
      <c r="R16" s="43" t="s">
        <v>103</v>
      </c>
      <c r="S16" s="15"/>
      <c r="T16" s="28"/>
      <c r="U16" s="55" t="s">
        <v>94</v>
      </c>
      <c r="V16" s="24" t="s">
        <v>95</v>
      </c>
      <c r="W16" s="427"/>
      <c r="X16" s="427"/>
      <c r="Y16" s="70"/>
      <c r="Z16" s="71"/>
      <c r="AA16" s="72"/>
      <c r="AB16" s="45"/>
      <c r="AC16" s="45"/>
      <c r="AD16" s="12"/>
      <c r="AE16" s="427"/>
      <c r="AF16" s="427"/>
      <c r="AG16" s="46"/>
      <c r="AH16" s="13"/>
      <c r="AI16" s="72"/>
      <c r="AJ16" s="21"/>
      <c r="AK16" s="12"/>
      <c r="AL16" s="427"/>
      <c r="AM16" s="427"/>
      <c r="AN16" s="46"/>
      <c r="AO16" s="13"/>
      <c r="AP16" s="13"/>
      <c r="AQ16" s="21"/>
      <c r="AR16" s="14"/>
    </row>
    <row r="17" spans="1:44" ht="15.75" customHeight="1">
      <c r="A17" s="25"/>
      <c r="B17" s="1" t="s">
        <v>785</v>
      </c>
      <c r="E17" s="429"/>
      <c r="F17" s="429"/>
      <c r="G17" s="429"/>
      <c r="J17" s="75"/>
      <c r="K17" s="428" t="s">
        <v>107</v>
      </c>
      <c r="L17" s="428"/>
      <c r="M17" s="428"/>
      <c r="N17" s="265"/>
      <c r="O17" s="74"/>
      <c r="P17" s="22" t="s">
        <v>23</v>
      </c>
      <c r="R17" s="43" t="s">
        <v>108</v>
      </c>
      <c r="S17" s="15"/>
      <c r="T17" s="28"/>
      <c r="U17" s="30" t="s">
        <v>98</v>
      </c>
      <c r="V17" s="24" t="s">
        <v>23</v>
      </c>
      <c r="W17" s="76"/>
      <c r="X17" s="2"/>
      <c r="Y17" s="77"/>
      <c r="Z17" s="2"/>
      <c r="AA17" s="47"/>
      <c r="AB17" s="45" t="s">
        <v>99</v>
      </c>
      <c r="AC17" s="45"/>
      <c r="AD17" s="12"/>
      <c r="AE17" s="76"/>
      <c r="AF17" s="43"/>
      <c r="AG17" s="46"/>
      <c r="AH17" s="13"/>
      <c r="AI17" s="78">
        <f>AA17</f>
        <v>0</v>
      </c>
      <c r="AJ17" s="45" t="s">
        <v>100</v>
      </c>
      <c r="AK17" s="12"/>
      <c r="AL17" s="2"/>
      <c r="AM17" s="43"/>
      <c r="AN17" s="46"/>
      <c r="AO17" s="13"/>
      <c r="AP17" s="47"/>
      <c r="AQ17" s="45" t="s">
        <v>101</v>
      </c>
      <c r="AR17" s="14"/>
    </row>
    <row r="18" spans="1:44" ht="15.75" customHeight="1">
      <c r="A18" s="25"/>
      <c r="B18" s="428" t="s">
        <v>829</v>
      </c>
      <c r="C18" s="428"/>
      <c r="D18" s="428"/>
      <c r="E18" s="333"/>
      <c r="F18" s="90"/>
      <c r="G18" s="2" t="s">
        <v>116</v>
      </c>
      <c r="I18" s="22" t="s">
        <v>117</v>
      </c>
      <c r="J18" s="75"/>
      <c r="K18" s="428" t="s">
        <v>111</v>
      </c>
      <c r="L18" s="428"/>
      <c r="M18" s="428"/>
      <c r="N18" s="265"/>
      <c r="O18" s="74"/>
      <c r="P18" s="22" t="s">
        <v>23</v>
      </c>
      <c r="R18" s="43" t="s">
        <v>112</v>
      </c>
      <c r="S18" s="15"/>
      <c r="T18" s="28"/>
      <c r="U18" s="30" t="s">
        <v>805</v>
      </c>
      <c r="V18" s="24" t="s">
        <v>795</v>
      </c>
      <c r="W18" s="76"/>
      <c r="X18" s="2"/>
      <c r="Y18" s="77"/>
      <c r="Z18" s="2"/>
      <c r="AA18" s="372"/>
      <c r="AB18" s="45" t="s">
        <v>807</v>
      </c>
      <c r="AC18" s="45"/>
      <c r="AD18" s="12"/>
      <c r="AE18" s="76"/>
      <c r="AF18" s="43"/>
      <c r="AG18" s="46"/>
      <c r="AH18" s="13"/>
      <c r="AI18" s="372"/>
      <c r="AJ18" s="45" t="s">
        <v>810</v>
      </c>
      <c r="AK18" s="12"/>
      <c r="AL18" s="2"/>
      <c r="AM18" s="43"/>
      <c r="AN18" s="46"/>
      <c r="AO18" s="13"/>
      <c r="AP18" s="372"/>
      <c r="AQ18" s="45" t="s">
        <v>813</v>
      </c>
      <c r="AR18" s="14"/>
    </row>
    <row r="19" spans="1:44" ht="15.75" customHeight="1">
      <c r="A19" s="25"/>
      <c r="B19" s="428" t="s">
        <v>104</v>
      </c>
      <c r="C19" s="428"/>
      <c r="D19" s="428"/>
      <c r="E19" s="86">
        <f>'General Information'!L21</f>
        <v>0</v>
      </c>
      <c r="F19" s="87"/>
      <c r="G19" s="2" t="s">
        <v>105</v>
      </c>
      <c r="I19" s="22" t="s">
        <v>106</v>
      </c>
      <c r="J19" s="75"/>
      <c r="K19" s="428" t="s">
        <v>118</v>
      </c>
      <c r="L19" s="428"/>
      <c r="M19" s="428"/>
      <c r="N19" s="265"/>
      <c r="O19" s="74"/>
      <c r="P19" s="22" t="s">
        <v>23</v>
      </c>
      <c r="R19" s="43" t="s">
        <v>119</v>
      </c>
      <c r="S19" s="15"/>
      <c r="T19" s="10"/>
      <c r="U19" s="346" t="s">
        <v>806</v>
      </c>
      <c r="V19" s="24" t="s">
        <v>795</v>
      </c>
      <c r="W19" s="76"/>
      <c r="X19" s="2"/>
      <c r="Y19" s="77"/>
      <c r="Z19" s="2">
        <v>10</v>
      </c>
      <c r="AA19" s="372"/>
      <c r="AB19" s="45" t="s">
        <v>808</v>
      </c>
      <c r="AC19" s="45"/>
      <c r="AD19" s="12"/>
      <c r="AE19" s="76"/>
      <c r="AF19" s="43"/>
      <c r="AG19" s="46"/>
      <c r="AH19" s="13"/>
      <c r="AI19" s="372"/>
      <c r="AJ19" s="45" t="s">
        <v>811</v>
      </c>
      <c r="AK19" s="12"/>
      <c r="AL19" s="2"/>
      <c r="AM19" s="43"/>
      <c r="AN19" s="46"/>
      <c r="AO19" s="13"/>
      <c r="AP19" s="372"/>
      <c r="AQ19" s="45" t="s">
        <v>814</v>
      </c>
      <c r="AR19" s="14"/>
    </row>
    <row r="20" spans="1:44" ht="16.5" customHeight="1" thickBot="1">
      <c r="A20" s="25"/>
      <c r="B20" s="428" t="s">
        <v>109</v>
      </c>
      <c r="C20" s="428"/>
      <c r="D20" s="428"/>
      <c r="E20" s="88">
        <f>'General Information'!L22</f>
        <v>0</v>
      </c>
      <c r="F20" s="87"/>
      <c r="G20" s="2" t="s">
        <v>105</v>
      </c>
      <c r="I20" s="22" t="s">
        <v>110</v>
      </c>
      <c r="J20" s="75"/>
      <c r="K20" s="428" t="s">
        <v>122</v>
      </c>
      <c r="L20" s="428"/>
      <c r="M20" s="428"/>
      <c r="N20" s="264">
        <f>'General Information'!C18</f>
        <v>100</v>
      </c>
      <c r="O20" s="74"/>
      <c r="P20" s="22" t="s">
        <v>32</v>
      </c>
      <c r="R20" s="43" t="s">
        <v>123</v>
      </c>
      <c r="S20" s="15"/>
      <c r="T20" s="10"/>
      <c r="U20" s="345" t="s">
        <v>803</v>
      </c>
      <c r="V20" s="37" t="s">
        <v>804</v>
      </c>
      <c r="W20" s="79"/>
      <c r="X20" s="80"/>
      <c r="Y20" s="81"/>
      <c r="Z20" s="80"/>
      <c r="AA20" s="373"/>
      <c r="AB20" s="85" t="s">
        <v>809</v>
      </c>
      <c r="AC20" s="45"/>
      <c r="AD20" s="82"/>
      <c r="AE20" s="79"/>
      <c r="AF20" s="80"/>
      <c r="AG20" s="83"/>
      <c r="AH20" s="84"/>
      <c r="AI20" s="373"/>
      <c r="AJ20" s="85" t="s">
        <v>812</v>
      </c>
      <c r="AK20" s="82"/>
      <c r="AL20" s="79"/>
      <c r="AM20" s="80"/>
      <c r="AN20" s="83"/>
      <c r="AO20" s="84"/>
      <c r="AP20" s="373"/>
      <c r="AQ20" s="85" t="s">
        <v>815</v>
      </c>
      <c r="AR20" s="14"/>
    </row>
    <row r="21" spans="1:44" ht="13.5" thickBot="1">
      <c r="A21" s="25"/>
      <c r="B21" s="432" t="s">
        <v>797</v>
      </c>
      <c r="C21" s="432"/>
      <c r="D21" s="432"/>
      <c r="F21" s="90"/>
      <c r="I21" s="1"/>
      <c r="J21" s="75"/>
      <c r="K21" s="99" t="s">
        <v>794</v>
      </c>
      <c r="L21" s="43"/>
      <c r="M21" s="43"/>
      <c r="N21" s="265"/>
      <c r="O21" s="43"/>
      <c r="P21" s="43" t="s">
        <v>795</v>
      </c>
      <c r="Q21" s="43"/>
      <c r="R21" s="43" t="s">
        <v>800</v>
      </c>
      <c r="S21" s="15"/>
      <c r="T21" s="1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14"/>
    </row>
    <row r="22" spans="1:44" ht="12.75" customHeight="1">
      <c r="A22" s="25"/>
      <c r="B22" s="344" t="s">
        <v>796</v>
      </c>
      <c r="C22" s="335"/>
      <c r="D22" s="335"/>
      <c r="E22" s="86">
        <f>E20*(1-E18)-(E18*((N20-E15)*4.2+2260))</f>
        <v>0</v>
      </c>
      <c r="F22" s="90"/>
      <c r="G22" s="2" t="s">
        <v>105</v>
      </c>
      <c r="I22" s="22" t="s">
        <v>121</v>
      </c>
      <c r="J22" s="75"/>
      <c r="K22" s="99"/>
      <c r="L22" s="43"/>
      <c r="M22" s="338" t="s">
        <v>798</v>
      </c>
      <c r="N22" s="265"/>
      <c r="O22" s="43"/>
      <c r="P22" s="43" t="s">
        <v>795</v>
      </c>
      <c r="Q22" s="43"/>
      <c r="R22" s="43" t="s">
        <v>801</v>
      </c>
      <c r="S22" s="15"/>
      <c r="T22" s="10"/>
      <c r="U22" s="13"/>
      <c r="V22" s="13"/>
      <c r="W22" s="89" t="s">
        <v>113</v>
      </c>
      <c r="X22" s="13"/>
      <c r="Y22" s="23"/>
      <c r="Z22" s="13"/>
      <c r="AA22" s="89" t="s">
        <v>114</v>
      </c>
      <c r="AB22" s="13"/>
      <c r="AC22" s="13"/>
      <c r="AD22" s="21"/>
      <c r="AE22" s="126" t="s">
        <v>115</v>
      </c>
      <c r="AF22" s="13"/>
      <c r="AG22" s="13"/>
      <c r="AH22" s="13"/>
      <c r="AI22" s="13"/>
      <c r="AJ22" s="13"/>
      <c r="AK22" s="13"/>
      <c r="AL22" s="13"/>
      <c r="AM22" s="13"/>
      <c r="AN22" s="13"/>
      <c r="AO22" s="13"/>
      <c r="AP22" s="13"/>
      <c r="AQ22" s="13"/>
      <c r="AR22" s="14"/>
    </row>
    <row r="23" spans="1:44" ht="14.25" customHeight="1">
      <c r="A23" s="25"/>
      <c r="B23" s="433" t="s">
        <v>747</v>
      </c>
      <c r="C23" s="433"/>
      <c r="D23" s="433"/>
      <c r="E23" s="86">
        <f>'General Information'!L11</f>
        <v>0</v>
      </c>
      <c r="F23" s="2"/>
      <c r="G23" s="2" t="s">
        <v>105</v>
      </c>
      <c r="J23" s="75"/>
      <c r="K23" s="99"/>
      <c r="L23" s="43"/>
      <c r="M23" s="338" t="s">
        <v>799</v>
      </c>
      <c r="N23" s="265"/>
      <c r="O23" s="43"/>
      <c r="P23" s="43" t="s">
        <v>804</v>
      </c>
      <c r="Q23" s="43"/>
      <c r="R23" s="43" t="s">
        <v>802</v>
      </c>
      <c r="S23" s="15"/>
      <c r="T23" s="10"/>
      <c r="U23" s="91" t="s">
        <v>120</v>
      </c>
      <c r="V23" s="92" t="s">
        <v>11</v>
      </c>
      <c r="W23" s="92" t="s">
        <v>12</v>
      </c>
      <c r="X23" s="92" t="s">
        <v>13</v>
      </c>
      <c r="Y23" s="46"/>
      <c r="Z23" s="13"/>
      <c r="AA23" s="92" t="s">
        <v>12</v>
      </c>
      <c r="AB23" s="92" t="s">
        <v>13</v>
      </c>
      <c r="AC23" s="92"/>
      <c r="AD23" s="21"/>
      <c r="AE23" s="93" t="s">
        <v>120</v>
      </c>
      <c r="AF23" s="13"/>
      <c r="AG23" s="13"/>
      <c r="AH23" s="13"/>
      <c r="AI23" s="13"/>
      <c r="AJ23" s="13"/>
      <c r="AK23" s="13"/>
      <c r="AL23" s="13"/>
      <c r="AM23" s="92" t="s">
        <v>11</v>
      </c>
      <c r="AN23" s="13"/>
      <c r="AO23" s="13"/>
      <c r="AP23" s="92" t="s">
        <v>12</v>
      </c>
      <c r="AQ23" s="92" t="s">
        <v>13</v>
      </c>
      <c r="AR23" s="14"/>
    </row>
    <row r="24" spans="1:44" ht="15.75" customHeight="1">
      <c r="A24" s="25"/>
      <c r="D24" s="100"/>
      <c r="E24" s="101"/>
      <c r="F24" s="2"/>
      <c r="G24" s="2"/>
      <c r="K24" s="99"/>
      <c r="L24" s="43"/>
      <c r="M24" s="43"/>
      <c r="N24" s="43"/>
      <c r="O24" s="43"/>
      <c r="P24" s="43"/>
      <c r="Q24" s="43"/>
      <c r="R24" s="43"/>
      <c r="S24" s="15"/>
      <c r="T24" s="10"/>
      <c r="U24" s="94" t="s">
        <v>124</v>
      </c>
      <c r="V24" s="95" t="s">
        <v>23</v>
      </c>
      <c r="W24" s="96">
        <f>W7-AA7</f>
        <v>0</v>
      </c>
      <c r="X24" s="56" t="s">
        <v>125</v>
      </c>
      <c r="Y24" s="57"/>
      <c r="Z24" s="61"/>
      <c r="AA24" s="96">
        <f>AE7-AI7</f>
        <v>0</v>
      </c>
      <c r="AB24" s="56" t="s">
        <v>126</v>
      </c>
      <c r="AC24" s="56"/>
      <c r="AD24" s="21"/>
      <c r="AE24" s="98" t="s">
        <v>127</v>
      </c>
      <c r="AF24" s="61"/>
      <c r="AG24" s="61"/>
      <c r="AH24" s="61"/>
      <c r="AI24" s="61"/>
      <c r="AJ24" s="61"/>
      <c r="AK24" s="61"/>
      <c r="AL24" s="61"/>
      <c r="AM24" s="95" t="s">
        <v>23</v>
      </c>
      <c r="AN24" s="61"/>
      <c r="AO24" s="61"/>
      <c r="AP24" s="96">
        <f>AL7-AP7</f>
        <v>0</v>
      </c>
      <c r="AQ24" s="56" t="s">
        <v>128</v>
      </c>
      <c r="AR24" s="14"/>
    </row>
    <row r="25" spans="1:44" ht="15.75" customHeight="1">
      <c r="A25" s="25"/>
      <c r="B25" s="102" t="s">
        <v>749</v>
      </c>
      <c r="C25" s="103"/>
      <c r="D25" s="104"/>
      <c r="E25" s="430"/>
      <c r="F25" s="430"/>
      <c r="G25" s="430"/>
      <c r="H25" s="430"/>
      <c r="I25" s="430"/>
      <c r="J25" s="430"/>
      <c r="K25" s="430"/>
      <c r="L25" s="430"/>
      <c r="M25" s="430"/>
      <c r="N25" s="430"/>
      <c r="O25" s="430"/>
      <c r="P25" s="430"/>
      <c r="Q25" s="430"/>
      <c r="R25" s="431"/>
      <c r="S25" s="15"/>
      <c r="T25" s="10"/>
      <c r="U25" s="94" t="s">
        <v>129</v>
      </c>
      <c r="V25" s="95" t="s">
        <v>23</v>
      </c>
      <c r="W25" s="96">
        <f>IF(AA17=0,0,AA17-$N$19)</f>
        <v>0</v>
      </c>
      <c r="X25" s="56" t="s">
        <v>130</v>
      </c>
      <c r="Y25" s="57"/>
      <c r="Z25" s="61"/>
      <c r="AA25" s="96">
        <f>IF(AI17=0,0,AI17-$N$19)</f>
        <v>0</v>
      </c>
      <c r="AB25" s="56" t="s">
        <v>131</v>
      </c>
      <c r="AC25" s="56"/>
      <c r="AD25" s="97"/>
      <c r="AE25" s="98" t="s">
        <v>132</v>
      </c>
      <c r="AF25" s="61"/>
      <c r="AG25" s="61"/>
      <c r="AH25" s="61"/>
      <c r="AI25" s="61"/>
      <c r="AJ25" s="61"/>
      <c r="AK25" s="61"/>
      <c r="AL25" s="61"/>
      <c r="AM25" s="95" t="s">
        <v>23</v>
      </c>
      <c r="AN25" s="61"/>
      <c r="AO25" s="61"/>
      <c r="AP25" s="96">
        <f>IF(AP17=0,0,(AP17-$N$19)-W25)</f>
        <v>0</v>
      </c>
      <c r="AQ25" s="56" t="s">
        <v>133</v>
      </c>
      <c r="AR25" s="14"/>
    </row>
    <row r="26" spans="1:44" ht="15.75" customHeight="1">
      <c r="A26" s="25"/>
      <c r="B26" s="403"/>
      <c r="C26" s="404"/>
      <c r="D26" s="404"/>
      <c r="E26" s="404"/>
      <c r="F26" s="404"/>
      <c r="G26" s="404"/>
      <c r="H26" s="404"/>
      <c r="I26" s="404"/>
      <c r="J26" s="404"/>
      <c r="K26" s="404"/>
      <c r="L26" s="404"/>
      <c r="M26" s="404"/>
      <c r="N26" s="404"/>
      <c r="O26" s="404"/>
      <c r="P26" s="404"/>
      <c r="Q26" s="404"/>
      <c r="R26" s="405"/>
      <c r="S26" s="15"/>
      <c r="T26" s="10"/>
      <c r="U26" s="94" t="s">
        <v>134</v>
      </c>
      <c r="V26" s="95" t="s">
        <v>23</v>
      </c>
      <c r="W26" s="96" t="e">
        <f>(W24*($E$20*(1-$E$18)-$E$18*(4.186*($N$20-$E$15)+2257))-W25*$E23)/$E$20</f>
        <v>#DIV/0!</v>
      </c>
      <c r="X26" s="56" t="s">
        <v>135</v>
      </c>
      <c r="Y26" s="57"/>
      <c r="Z26" s="61"/>
      <c r="AA26" s="382" t="e">
        <f>(AA24*($E$20*(1-$E$18)-$E$18*(4.186*($N$20-$E$15)+2257))-AA25*$E23)/$E$20</f>
        <v>#DIV/0!</v>
      </c>
      <c r="AB26" s="56" t="s">
        <v>136</v>
      </c>
      <c r="AC26" s="56"/>
      <c r="AD26" s="97"/>
      <c r="AE26" s="98" t="s">
        <v>134</v>
      </c>
      <c r="AF26" s="61"/>
      <c r="AG26" s="61"/>
      <c r="AH26" s="61"/>
      <c r="AI26" s="61"/>
      <c r="AJ26" s="61"/>
      <c r="AK26" s="61"/>
      <c r="AL26" s="61"/>
      <c r="AM26" s="95" t="s">
        <v>23</v>
      </c>
      <c r="AN26" s="61"/>
      <c r="AO26" s="61"/>
      <c r="AP26" s="382" t="e">
        <f>(AP24*($E$20*(1-$E$18)-$E$18*(4.186*($N$20-$E$15)+2257))-AP25*$E23)/$E$20</f>
        <v>#DIV/0!</v>
      </c>
      <c r="AQ26" s="56" t="s">
        <v>137</v>
      </c>
      <c r="AR26" s="14"/>
    </row>
    <row r="27" spans="1:44" ht="15.75" customHeight="1">
      <c r="A27" s="25"/>
      <c r="B27" s="403"/>
      <c r="C27" s="404"/>
      <c r="D27" s="404"/>
      <c r="E27" s="404"/>
      <c r="F27" s="404"/>
      <c r="G27" s="404"/>
      <c r="H27" s="404"/>
      <c r="I27" s="404"/>
      <c r="J27" s="404"/>
      <c r="K27" s="404"/>
      <c r="L27" s="404"/>
      <c r="M27" s="404"/>
      <c r="N27" s="404"/>
      <c r="O27" s="404"/>
      <c r="P27" s="404"/>
      <c r="Q27" s="404"/>
      <c r="R27" s="405"/>
      <c r="S27" s="15"/>
      <c r="T27" s="10"/>
      <c r="U27" s="94" t="s">
        <v>138</v>
      </c>
      <c r="V27" s="95" t="s">
        <v>23</v>
      </c>
      <c r="W27" s="96">
        <f>SUM(W12:W15)-SUM(AA12:AA15)</f>
        <v>0</v>
      </c>
      <c r="X27" s="56" t="s">
        <v>139</v>
      </c>
      <c r="Y27" s="57"/>
      <c r="Z27" s="61"/>
      <c r="AA27" s="96">
        <f>SUM(AE12:AE15)-SUM(AI12:AI15)</f>
        <v>0</v>
      </c>
      <c r="AB27" s="56" t="s">
        <v>140</v>
      </c>
      <c r="AC27" s="56"/>
      <c r="AD27" s="97"/>
      <c r="AE27" s="98" t="s">
        <v>141</v>
      </c>
      <c r="AF27" s="61"/>
      <c r="AG27" s="61"/>
      <c r="AH27" s="61"/>
      <c r="AI27" s="61"/>
      <c r="AJ27" s="61"/>
      <c r="AK27" s="61"/>
      <c r="AL27" s="61"/>
      <c r="AM27" s="95" t="s">
        <v>23</v>
      </c>
      <c r="AN27" s="61"/>
      <c r="AO27" s="61"/>
      <c r="AP27" s="96">
        <f>(AL12-AP12)+(AL13-AP13)+(AL14-AP14)+(AL15-AP15)</f>
        <v>0</v>
      </c>
      <c r="AQ27" s="56" t="s">
        <v>142</v>
      </c>
      <c r="AR27" s="14"/>
    </row>
    <row r="28" spans="1:44" ht="15.75" customHeight="1">
      <c r="A28" s="25"/>
      <c r="B28" s="105"/>
      <c r="C28" s="106"/>
      <c r="D28" s="106"/>
      <c r="E28" s="106"/>
      <c r="F28" s="106"/>
      <c r="G28" s="106"/>
      <c r="H28" s="106"/>
      <c r="I28" s="106"/>
      <c r="J28" s="106"/>
      <c r="K28" s="106"/>
      <c r="L28" s="106"/>
      <c r="M28" s="106"/>
      <c r="N28" s="106"/>
      <c r="O28" s="106"/>
      <c r="P28" s="106"/>
      <c r="Q28" s="106"/>
      <c r="R28" s="107"/>
      <c r="S28" s="15"/>
      <c r="T28" s="10"/>
      <c r="U28" s="94" t="s">
        <v>143</v>
      </c>
      <c r="V28" s="95" t="s">
        <v>23</v>
      </c>
      <c r="W28" s="96">
        <f>((AA12-$N15)*(AA8-W8)/($N$20-W8)+(AA13-$N16)*(AA9-W9)/($N$20-W9)+(AA14-$N17)*(AA10-W10)/($N$20-W10)+(AA15-$N18)*(AA11-W11)/($N$20-W11))</f>
        <v>0</v>
      </c>
      <c r="X28" s="56" t="s">
        <v>144</v>
      </c>
      <c r="Y28" s="57"/>
      <c r="Z28" s="61"/>
      <c r="AA28" s="96">
        <f>((AI12-$N15)*(AI8-AE8)/($N$20-AE8)+(AI13-$N16)*(AI9-AE9)/($N$20-AE9)+(AI14-$N17)*(AI10-AE10)/($N$20-AE10)+(AI15-$N18)*(AI11-AE11)/($N$20-AE11))</f>
        <v>0</v>
      </c>
      <c r="AB28" s="56" t="s">
        <v>145</v>
      </c>
      <c r="AC28" s="56"/>
      <c r="AD28" s="97"/>
      <c r="AE28" s="98" t="s">
        <v>146</v>
      </c>
      <c r="AF28" s="61"/>
      <c r="AG28" s="61"/>
      <c r="AH28" s="61"/>
      <c r="AI28" s="61"/>
      <c r="AJ28" s="61"/>
      <c r="AK28" s="61"/>
      <c r="AL28" s="61"/>
      <c r="AM28" s="95" t="s">
        <v>23</v>
      </c>
      <c r="AN28" s="61"/>
      <c r="AO28" s="61"/>
      <c r="AP28" s="96">
        <f>(AP12-$N$15+((AP9-25)/(N20-25))*(AP13-N16)+((AP10-25)/(N20-25))*(AP14-N17)+((AP11-25)/(N20-25))*(AP15-N18))</f>
        <v>0</v>
      </c>
      <c r="AQ28" s="56" t="s">
        <v>147</v>
      </c>
      <c r="AR28" s="14"/>
    </row>
    <row r="29" spans="1:44" ht="15.75" customHeight="1">
      <c r="A29" s="25"/>
      <c r="B29" s="403"/>
      <c r="C29" s="404"/>
      <c r="D29" s="404"/>
      <c r="E29" s="404"/>
      <c r="F29" s="404"/>
      <c r="G29" s="404"/>
      <c r="H29" s="404"/>
      <c r="I29" s="404"/>
      <c r="J29" s="404"/>
      <c r="K29" s="404"/>
      <c r="L29" s="404"/>
      <c r="M29" s="404"/>
      <c r="N29" s="404"/>
      <c r="O29" s="404"/>
      <c r="P29" s="404"/>
      <c r="Q29" s="404"/>
      <c r="R29" s="405"/>
      <c r="S29" s="15"/>
      <c r="T29" s="10"/>
      <c r="U29" s="94" t="s">
        <v>148</v>
      </c>
      <c r="V29" s="95" t="s">
        <v>149</v>
      </c>
      <c r="W29" s="96">
        <f>(AA6-W6)*1440</f>
        <v>0</v>
      </c>
      <c r="X29" s="56" t="s">
        <v>150</v>
      </c>
      <c r="Y29" s="57"/>
      <c r="Z29" s="61"/>
      <c r="AA29" s="96">
        <f>(AI6-AE6)*1440</f>
        <v>0</v>
      </c>
      <c r="AB29" s="56" t="s">
        <v>151</v>
      </c>
      <c r="AC29" s="56"/>
      <c r="AD29" s="97"/>
      <c r="AE29" s="98" t="s">
        <v>152</v>
      </c>
      <c r="AF29" s="61"/>
      <c r="AG29" s="61"/>
      <c r="AH29" s="61"/>
      <c r="AI29" s="61"/>
      <c r="AJ29" s="61"/>
      <c r="AK29" s="61"/>
      <c r="AL29" s="61"/>
      <c r="AM29" s="95" t="s">
        <v>149</v>
      </c>
      <c r="AN29" s="61"/>
      <c r="AO29" s="61"/>
      <c r="AP29" s="96">
        <f>(AP6-AL6)*1440</f>
        <v>0</v>
      </c>
      <c r="AQ29" s="56" t="s">
        <v>153</v>
      </c>
      <c r="AR29" s="14"/>
    </row>
    <row r="30" spans="1:44" ht="15.75" customHeight="1">
      <c r="A30" s="25"/>
      <c r="B30" s="403"/>
      <c r="C30" s="404"/>
      <c r="D30" s="404"/>
      <c r="E30" s="404"/>
      <c r="F30" s="404"/>
      <c r="G30" s="404"/>
      <c r="H30" s="404"/>
      <c r="I30" s="404"/>
      <c r="J30" s="404"/>
      <c r="K30" s="404"/>
      <c r="L30" s="404"/>
      <c r="M30" s="404"/>
      <c r="N30" s="404"/>
      <c r="O30" s="404"/>
      <c r="P30" s="404"/>
      <c r="Q30" s="404"/>
      <c r="R30" s="405"/>
      <c r="S30" s="15"/>
      <c r="T30" s="10"/>
      <c r="U30" s="94" t="s">
        <v>154</v>
      </c>
      <c r="V30" s="95" t="s">
        <v>149</v>
      </c>
      <c r="W30" s="96">
        <f>IF(N20=0,0,W29*75/(N20-W8))</f>
        <v>0</v>
      </c>
      <c r="X30" s="56" t="s">
        <v>155</v>
      </c>
      <c r="Y30" s="57"/>
      <c r="Z30" s="61"/>
      <c r="AA30" s="96">
        <f>IF(N20=0,0,AA29*75/(N20-AE8))</f>
        <v>0</v>
      </c>
      <c r="AB30" s="56" t="s">
        <v>156</v>
      </c>
      <c r="AC30" s="56"/>
      <c r="AD30" s="97"/>
      <c r="AE30" s="98" t="s">
        <v>157</v>
      </c>
      <c r="AF30" s="61"/>
      <c r="AG30" s="61"/>
      <c r="AH30" s="61"/>
      <c r="AI30" s="61"/>
      <c r="AJ30" s="61"/>
      <c r="AK30" s="61"/>
      <c r="AL30" s="61"/>
      <c r="AM30" s="95" t="s">
        <v>116</v>
      </c>
      <c r="AN30" s="61"/>
      <c r="AO30" s="61"/>
      <c r="AP30" s="108" t="e">
        <f>IF(AP26=0,0,(4.186*((AL12-$N15+AP28)/2)*(AP8-AL8)+2260*AP27)/(AP26*$E$20))</f>
        <v>#DIV/0!</v>
      </c>
      <c r="AQ30" s="56" t="s">
        <v>158</v>
      </c>
      <c r="AR30" s="14"/>
    </row>
    <row r="31" spans="1:44" ht="15.75" customHeight="1">
      <c r="A31" s="25"/>
      <c r="B31" s="403"/>
      <c r="C31" s="404"/>
      <c r="D31" s="404"/>
      <c r="E31" s="404"/>
      <c r="F31" s="404"/>
      <c r="G31" s="404"/>
      <c r="H31" s="404"/>
      <c r="I31" s="404"/>
      <c r="J31" s="404"/>
      <c r="K31" s="404"/>
      <c r="L31" s="404"/>
      <c r="M31" s="404"/>
      <c r="N31" s="404"/>
      <c r="O31" s="404"/>
      <c r="P31" s="404"/>
      <c r="Q31" s="404"/>
      <c r="R31" s="405"/>
      <c r="S31" s="15"/>
      <c r="T31" s="10"/>
      <c r="U31" s="94" t="s">
        <v>157</v>
      </c>
      <c r="V31" s="95" t="s">
        <v>116</v>
      </c>
      <c r="W31" s="108" t="e">
        <f>IF(W26=0,0,(4.186*SUM((W12-$N15)*(AA8-W8),(W13-$N16)*(AA9-W9),(W14-$N17)*(AA10-W10),(W15-$N18)*(AA11-W11))+2260*W27)/(W26*$E20))</f>
        <v>#DIV/0!</v>
      </c>
      <c r="X31" s="56" t="s">
        <v>159</v>
      </c>
      <c r="Y31" s="57"/>
      <c r="Z31" s="61"/>
      <c r="AA31" s="108" t="e">
        <f>IF(AA26=0,0,(4.186*SUM((AE12-$N15)*(AI8-AE8),(AE13-$N16)*(AI9-AE9),(AE14-$N17)*(AI10-AE10),(AE15-$N18)*(AI11-AE11))+2260*AA27)/(AA26*$E20))</f>
        <v>#DIV/0!</v>
      </c>
      <c r="AB31" s="56" t="s">
        <v>160</v>
      </c>
      <c r="AC31" s="56"/>
      <c r="AD31" s="97"/>
      <c r="AE31" s="98" t="s">
        <v>161</v>
      </c>
      <c r="AF31" s="61"/>
      <c r="AG31" s="61"/>
      <c r="AH31" s="61"/>
      <c r="AI31" s="61"/>
      <c r="AJ31" s="61"/>
      <c r="AK31" s="61"/>
      <c r="AL31" s="61"/>
      <c r="AM31" s="95" t="s">
        <v>162</v>
      </c>
      <c r="AN31" s="61"/>
      <c r="AO31" s="61"/>
      <c r="AP31" s="96">
        <f>IF(AP29=0,0,AP26/AP29)</f>
        <v>0</v>
      </c>
      <c r="AQ31" s="56" t="s">
        <v>163</v>
      </c>
      <c r="AR31" s="14"/>
    </row>
    <row r="32" spans="1:44" ht="15.75" customHeight="1">
      <c r="A32" s="25"/>
      <c r="B32" s="403"/>
      <c r="C32" s="404"/>
      <c r="D32" s="404"/>
      <c r="E32" s="404"/>
      <c r="F32" s="404"/>
      <c r="G32" s="404"/>
      <c r="H32" s="404"/>
      <c r="I32" s="404"/>
      <c r="J32" s="404"/>
      <c r="K32" s="404"/>
      <c r="L32" s="404"/>
      <c r="M32" s="404"/>
      <c r="N32" s="404"/>
      <c r="O32" s="404"/>
      <c r="P32" s="404"/>
      <c r="Q32" s="404"/>
      <c r="R32" s="405"/>
      <c r="S32" s="15"/>
      <c r="T32" s="10"/>
      <c r="U32" s="94" t="s">
        <v>161</v>
      </c>
      <c r="V32" s="95" t="s">
        <v>162</v>
      </c>
      <c r="W32" s="96">
        <f>IF(W29=0,0,W26/W29)</f>
        <v>0</v>
      </c>
      <c r="X32" s="95" t="s">
        <v>164</v>
      </c>
      <c r="Y32" s="57"/>
      <c r="Z32" s="61"/>
      <c r="AA32" s="96">
        <f>IF(AA29=0,0,AA26/AA29)</f>
        <v>0</v>
      </c>
      <c r="AB32" s="56" t="s">
        <v>165</v>
      </c>
      <c r="AC32" s="56"/>
      <c r="AD32" s="97"/>
      <c r="AE32" s="98" t="s">
        <v>166</v>
      </c>
      <c r="AF32" s="61"/>
      <c r="AG32" s="61"/>
      <c r="AH32" s="61"/>
      <c r="AI32" s="61"/>
      <c r="AJ32" s="61"/>
      <c r="AK32" s="61"/>
      <c r="AL32" s="61"/>
      <c r="AM32" s="95" t="s">
        <v>167</v>
      </c>
      <c r="AN32" s="61"/>
      <c r="AO32" s="61"/>
      <c r="AP32" s="96">
        <f>IF(AP28=0,0,AP26/AP28*1000)</f>
        <v>0</v>
      </c>
      <c r="AQ32" s="56" t="s">
        <v>168</v>
      </c>
      <c r="AR32" s="14"/>
    </row>
    <row r="33" spans="1:44" ht="15.75" customHeight="1">
      <c r="A33" s="25"/>
      <c r="B33" s="105"/>
      <c r="C33" s="106"/>
      <c r="D33" s="106"/>
      <c r="E33" s="106"/>
      <c r="F33" s="106"/>
      <c r="G33" s="106"/>
      <c r="H33" s="106"/>
      <c r="I33" s="106"/>
      <c r="J33" s="106"/>
      <c r="K33" s="106"/>
      <c r="L33" s="106"/>
      <c r="M33" s="106"/>
      <c r="N33" s="106"/>
      <c r="O33" s="106"/>
      <c r="P33" s="106"/>
      <c r="Q33" s="106"/>
      <c r="R33" s="107"/>
      <c r="S33" s="15"/>
      <c r="T33" s="10"/>
      <c r="U33" s="94" t="s">
        <v>166</v>
      </c>
      <c r="V33" s="95" t="s">
        <v>167</v>
      </c>
      <c r="W33" s="96">
        <f>IF(W28=0,0,1000*W26/(SUM(W28:W28)))</f>
        <v>0</v>
      </c>
      <c r="X33" s="56" t="s">
        <v>169</v>
      </c>
      <c r="Y33" s="57"/>
      <c r="Z33" s="61"/>
      <c r="AA33" s="96">
        <f>IF(AA28=0,0,1000*AA26/(SUM(AA28:AA28)))</f>
        <v>0</v>
      </c>
      <c r="AB33" s="56" t="s">
        <v>170</v>
      </c>
      <c r="AC33" s="56"/>
      <c r="AD33" s="97"/>
      <c r="AE33" s="98" t="s">
        <v>171</v>
      </c>
      <c r="AF33" s="61"/>
      <c r="AG33" s="61"/>
      <c r="AH33" s="61"/>
      <c r="AI33" s="61"/>
      <c r="AJ33" s="61"/>
      <c r="AK33" s="61"/>
      <c r="AL33" s="61"/>
      <c r="AM33" s="95" t="s">
        <v>172</v>
      </c>
      <c r="AN33" s="61"/>
      <c r="AO33" s="61"/>
      <c r="AP33" s="96">
        <f>IF(AP29=0,0,AP26*$E$20/(AP29*60))</f>
        <v>0</v>
      </c>
      <c r="AQ33" s="56" t="s">
        <v>173</v>
      </c>
      <c r="AR33" s="14"/>
    </row>
    <row r="34" spans="1:44" ht="15.75" customHeight="1">
      <c r="A34" s="25"/>
      <c r="B34" s="403"/>
      <c r="C34" s="404"/>
      <c r="D34" s="404"/>
      <c r="E34" s="404"/>
      <c r="F34" s="404"/>
      <c r="G34" s="404"/>
      <c r="H34" s="404"/>
      <c r="I34" s="404"/>
      <c r="J34" s="404"/>
      <c r="K34" s="404"/>
      <c r="L34" s="404"/>
      <c r="M34" s="404"/>
      <c r="N34" s="404"/>
      <c r="O34" s="404"/>
      <c r="P34" s="404"/>
      <c r="Q34" s="404"/>
      <c r="R34" s="405"/>
      <c r="S34" s="15"/>
      <c r="T34" s="10"/>
      <c r="U34" s="94" t="s">
        <v>174</v>
      </c>
      <c r="V34" s="95" t="s">
        <v>167</v>
      </c>
      <c r="W34" s="96">
        <f>IF(W28=0,0,W33*75/($N$20-W8))</f>
        <v>0</v>
      </c>
      <c r="X34" s="56" t="s">
        <v>175</v>
      </c>
      <c r="Y34" s="57"/>
      <c r="Z34" s="61"/>
      <c r="AA34" s="96">
        <f>IF(AA28=0,0,AA33*75/($N$20-AE8))</f>
        <v>0</v>
      </c>
      <c r="AB34" s="56" t="s">
        <v>176</v>
      </c>
      <c r="AC34" s="56"/>
      <c r="AD34" s="97"/>
      <c r="AE34" s="98" t="s">
        <v>177</v>
      </c>
      <c r="AF34" s="61"/>
      <c r="AG34" s="61"/>
      <c r="AH34" s="61"/>
      <c r="AI34" s="61"/>
      <c r="AJ34" s="61"/>
      <c r="AK34" s="61"/>
      <c r="AL34" s="61"/>
      <c r="AM34" s="95" t="s">
        <v>95</v>
      </c>
      <c r="AN34" s="61"/>
      <c r="AO34" s="61"/>
      <c r="AP34" s="109">
        <f>IF(AP33=0,0,W36/AP33)</f>
        <v>0</v>
      </c>
      <c r="AQ34" s="95" t="s">
        <v>178</v>
      </c>
      <c r="AR34" s="14"/>
    </row>
    <row r="35" spans="1:44" ht="15.75" customHeight="1" thickBot="1">
      <c r="A35" s="25"/>
      <c r="B35" s="400"/>
      <c r="C35" s="401"/>
      <c r="D35" s="401"/>
      <c r="E35" s="401"/>
      <c r="F35" s="401"/>
      <c r="G35" s="401"/>
      <c r="H35" s="401"/>
      <c r="I35" s="401"/>
      <c r="J35" s="401"/>
      <c r="K35" s="401"/>
      <c r="L35" s="401"/>
      <c r="M35" s="401"/>
      <c r="N35" s="401"/>
      <c r="O35" s="401"/>
      <c r="P35" s="401"/>
      <c r="Q35" s="401"/>
      <c r="R35" s="402"/>
      <c r="S35" s="15"/>
      <c r="T35" s="10"/>
      <c r="U35" s="94" t="s">
        <v>179</v>
      </c>
      <c r="V35" s="95" t="s">
        <v>180</v>
      </c>
      <c r="W35" s="96">
        <f>(W34/1000)*E20</f>
        <v>0</v>
      </c>
      <c r="X35" s="56" t="s">
        <v>181</v>
      </c>
      <c r="Y35" s="57"/>
      <c r="Z35" s="61"/>
      <c r="AA35" s="96">
        <f>(AA34/1000)*E20</f>
        <v>0</v>
      </c>
      <c r="AB35" s="56" t="s">
        <v>182</v>
      </c>
      <c r="AC35" s="56"/>
      <c r="AD35" s="97"/>
      <c r="AE35" s="110" t="s">
        <v>183</v>
      </c>
      <c r="AF35" s="111"/>
      <c r="AG35" s="111"/>
      <c r="AH35" s="111"/>
      <c r="AI35" s="111"/>
      <c r="AJ35" s="111"/>
      <c r="AK35" s="111"/>
      <c r="AL35" s="111"/>
      <c r="AM35" s="112" t="s">
        <v>180</v>
      </c>
      <c r="AN35" s="111"/>
      <c r="AO35" s="111"/>
      <c r="AP35" s="113">
        <f>(AP33/1000)*E20</f>
        <v>0</v>
      </c>
      <c r="AQ35" s="114" t="s">
        <v>184</v>
      </c>
      <c r="AR35" s="115"/>
    </row>
    <row r="36" spans="1:44" ht="15.75" customHeight="1" thickBot="1">
      <c r="A36" s="25"/>
      <c r="B36" s="118" t="s">
        <v>192</v>
      </c>
      <c r="C36" s="118"/>
      <c r="D36" s="118"/>
      <c r="E36" s="118"/>
      <c r="F36" s="118"/>
      <c r="G36" s="118"/>
      <c r="H36" s="118"/>
      <c r="I36" s="118"/>
      <c r="J36" s="118"/>
      <c r="K36" s="118"/>
      <c r="L36" s="118"/>
      <c r="M36" s="118"/>
      <c r="N36" s="118"/>
      <c r="O36" s="119"/>
      <c r="P36" s="119"/>
      <c r="Q36" s="119"/>
      <c r="R36" s="119"/>
      <c r="S36" s="15"/>
      <c r="T36" s="10"/>
      <c r="U36" s="2" t="s">
        <v>171</v>
      </c>
      <c r="V36" s="22" t="s">
        <v>172</v>
      </c>
      <c r="W36" s="100">
        <f>IF(W29=0,0,W26*$E$20/(W29*60))</f>
        <v>0</v>
      </c>
      <c r="X36" s="43" t="s">
        <v>185</v>
      </c>
      <c r="Y36" s="348"/>
      <c r="Z36" s="13"/>
      <c r="AA36" s="100">
        <f>IF(AA29=0,0,AA26*$E$20/(AA29*60))</f>
        <v>0</v>
      </c>
      <c r="AB36" s="43" t="s">
        <v>186</v>
      </c>
      <c r="AC36" s="43"/>
      <c r="AD36" s="97"/>
      <c r="AE36" s="3" t="s">
        <v>187</v>
      </c>
      <c r="AM36" s="3" t="s">
        <v>23</v>
      </c>
      <c r="AP36" s="347">
        <f>IF(AA34=0,5*(W34+AP32),5*(AVERAGE(W34,AA34)+AP32))</f>
        <v>0</v>
      </c>
      <c r="AQ36" s="116" t="s">
        <v>188</v>
      </c>
      <c r="AR36" s="14"/>
    </row>
    <row r="37" spans="1:44" ht="13.5" customHeight="1" thickBot="1" thickTop="1">
      <c r="A37" s="117"/>
      <c r="B37" s="343"/>
      <c r="C37" s="343"/>
      <c r="D37" s="343"/>
      <c r="E37" s="343"/>
      <c r="F37" s="343"/>
      <c r="G37" s="343"/>
      <c r="H37" s="343"/>
      <c r="I37" s="343"/>
      <c r="J37" s="343"/>
      <c r="K37" s="343"/>
      <c r="L37" s="343"/>
      <c r="M37" s="343"/>
      <c r="N37" s="343"/>
      <c r="O37" s="343"/>
      <c r="P37" s="343"/>
      <c r="Q37" s="343"/>
      <c r="R37" s="343"/>
      <c r="S37" s="120"/>
      <c r="T37" s="121"/>
      <c r="U37" s="122"/>
      <c r="V37" s="122"/>
      <c r="W37" s="122"/>
      <c r="X37" s="122"/>
      <c r="Y37" s="349"/>
      <c r="Z37" s="122"/>
      <c r="AA37" s="122"/>
      <c r="AB37" s="122"/>
      <c r="AC37" s="122"/>
      <c r="AD37" s="350"/>
      <c r="AE37" s="122" t="s">
        <v>189</v>
      </c>
      <c r="AF37" s="122"/>
      <c r="AG37" s="122"/>
      <c r="AH37" s="122"/>
      <c r="AI37" s="122"/>
      <c r="AJ37" s="122"/>
      <c r="AK37" s="122"/>
      <c r="AL37" s="122"/>
      <c r="AM37" s="122" t="s">
        <v>190</v>
      </c>
      <c r="AN37" s="122"/>
      <c r="AO37" s="122"/>
      <c r="AP37" s="351">
        <f>(AP36/1000)*E20</f>
        <v>0</v>
      </c>
      <c r="AQ37" s="123" t="s">
        <v>191</v>
      </c>
      <c r="AR37" s="124"/>
    </row>
    <row r="38" spans="2:44" ht="14.25" customHeight="1" thickBot="1" thickTop="1">
      <c r="B38" s="126" t="str">
        <f>"TEST #2 "&amp;D7</f>
        <v>TEST #2 </v>
      </c>
      <c r="S38" s="2"/>
      <c r="U38" s="126" t="str">
        <f>"TEST #2 "&amp;D7</f>
        <v>TEST #2 </v>
      </c>
      <c r="V38" s="89" t="s">
        <v>818</v>
      </c>
      <c r="W38" s="13"/>
      <c r="X38" s="22"/>
      <c r="Y38" s="22"/>
      <c r="Z38" s="22"/>
      <c r="AA38" s="100"/>
      <c r="AB38" s="43"/>
      <c r="AC38" s="43"/>
      <c r="AD38" s="13"/>
      <c r="AE38" s="13"/>
      <c r="AF38" s="13"/>
      <c r="AG38" s="13"/>
      <c r="AH38" s="13"/>
      <c r="AI38" s="13"/>
      <c r="AJ38" s="13"/>
      <c r="AK38" s="13"/>
      <c r="AL38" s="13"/>
      <c r="AM38" s="13"/>
      <c r="AN38" s="13"/>
      <c r="AO38" s="13"/>
      <c r="AP38" s="13"/>
      <c r="AQ38" s="13"/>
      <c r="AR38" s="13"/>
    </row>
    <row r="39" spans="2:44" ht="14.25" customHeight="1" thickTop="1">
      <c r="B39" s="406" t="s">
        <v>759</v>
      </c>
      <c r="C39" s="407"/>
      <c r="D39" s="407"/>
      <c r="E39" s="407"/>
      <c r="F39" s="407"/>
      <c r="G39" s="407"/>
      <c r="H39" s="407"/>
      <c r="I39" s="407"/>
      <c r="J39" s="407"/>
      <c r="K39" s="407"/>
      <c r="L39" s="407"/>
      <c r="M39" s="407"/>
      <c r="N39" s="407"/>
      <c r="O39" s="407"/>
      <c r="P39" s="407"/>
      <c r="Q39" s="407"/>
      <c r="R39" s="408"/>
      <c r="T39" s="7"/>
      <c r="U39" s="8"/>
      <c r="V39" s="8"/>
      <c r="W39" s="359" t="s">
        <v>113</v>
      </c>
      <c r="X39" s="8"/>
      <c r="Y39" s="360"/>
      <c r="Z39" s="8"/>
      <c r="AA39" s="359" t="s">
        <v>114</v>
      </c>
      <c r="AB39" s="8"/>
      <c r="AC39" s="360"/>
      <c r="AD39" s="8"/>
      <c r="AE39" s="359" t="s">
        <v>2</v>
      </c>
      <c r="AF39" s="8"/>
      <c r="AG39" s="197"/>
      <c r="AH39" s="197"/>
      <c r="AI39" s="198"/>
      <c r="AJ39" s="71"/>
      <c r="AK39" s="71"/>
      <c r="AL39" s="71"/>
      <c r="AM39" s="71"/>
      <c r="AN39" s="71"/>
      <c r="AO39" s="71"/>
      <c r="AP39" s="71"/>
      <c r="AQ39" s="71"/>
      <c r="AR39" s="71"/>
    </row>
    <row r="40" spans="2:122" ht="16.5" customHeight="1">
      <c r="B40" s="403"/>
      <c r="C40" s="404"/>
      <c r="D40" s="404"/>
      <c r="E40" s="404"/>
      <c r="F40" s="404"/>
      <c r="G40" s="404"/>
      <c r="H40" s="404"/>
      <c r="I40" s="404"/>
      <c r="J40" s="404"/>
      <c r="K40" s="404"/>
      <c r="L40" s="404"/>
      <c r="M40" s="404"/>
      <c r="N40" s="404"/>
      <c r="O40" s="404"/>
      <c r="P40" s="404"/>
      <c r="Q40" s="404"/>
      <c r="R40" s="405"/>
      <c r="T40" s="10"/>
      <c r="U40" s="91" t="s">
        <v>120</v>
      </c>
      <c r="V40" s="92" t="s">
        <v>11</v>
      </c>
      <c r="W40" s="92" t="s">
        <v>12</v>
      </c>
      <c r="X40" s="92" t="s">
        <v>13</v>
      </c>
      <c r="Y40" s="46"/>
      <c r="Z40" s="13"/>
      <c r="AA40" s="92" t="s">
        <v>12</v>
      </c>
      <c r="AB40" s="92" t="s">
        <v>13</v>
      </c>
      <c r="AC40" s="46"/>
      <c r="AD40" s="13"/>
      <c r="AE40" s="92" t="s">
        <v>12</v>
      </c>
      <c r="AF40" s="92" t="s">
        <v>13</v>
      </c>
      <c r="AG40" s="71"/>
      <c r="AH40" s="71"/>
      <c r="AI40" s="206"/>
      <c r="AJ40"/>
      <c r="AK40"/>
      <c r="AL40"/>
      <c r="AM40"/>
      <c r="AN40"/>
      <c r="AO40"/>
      <c r="AP40"/>
      <c r="AQ40"/>
      <c r="AR40"/>
      <c r="DG40" s="1"/>
      <c r="DH40" s="1"/>
      <c r="DI40" s="1"/>
      <c r="DJ40" s="1"/>
      <c r="DK40" s="1"/>
      <c r="DL40" s="1"/>
      <c r="DM40" s="1"/>
      <c r="DN40" s="1"/>
      <c r="DO40" s="1"/>
      <c r="DP40" s="1"/>
      <c r="DQ40" s="1"/>
      <c r="DR40" s="1"/>
    </row>
    <row r="41" spans="2:122" ht="16.5" customHeight="1">
      <c r="B41" s="105"/>
      <c r="C41" s="106"/>
      <c r="D41" s="106"/>
      <c r="E41" s="106"/>
      <c r="F41" s="106"/>
      <c r="G41" s="106"/>
      <c r="H41" s="106"/>
      <c r="I41" s="106"/>
      <c r="J41" s="106"/>
      <c r="K41" s="106"/>
      <c r="L41" s="106"/>
      <c r="M41" s="106"/>
      <c r="N41" s="106"/>
      <c r="O41" s="106"/>
      <c r="P41" s="106"/>
      <c r="Q41" s="106"/>
      <c r="R41" s="107"/>
      <c r="T41" s="10"/>
      <c r="U41" s="94" t="s">
        <v>819</v>
      </c>
      <c r="V41" s="95" t="s">
        <v>820</v>
      </c>
      <c r="W41" s="354">
        <f>'General Information'!$C$22*W29/60</f>
        <v>0</v>
      </c>
      <c r="X41" s="56"/>
      <c r="Y41" s="57"/>
      <c r="Z41" s="61"/>
      <c r="AA41" s="354">
        <f>'General Information'!$C$22*AA29/60</f>
        <v>0</v>
      </c>
      <c r="AB41" s="56"/>
      <c r="AC41" s="46"/>
      <c r="AD41" s="13"/>
      <c r="AE41" s="354">
        <f>'General Information'!$C$22*AP29/60</f>
        <v>0</v>
      </c>
      <c r="AF41" s="56"/>
      <c r="AG41" s="71"/>
      <c r="AH41" s="71"/>
      <c r="AI41" s="206"/>
      <c r="AJ41"/>
      <c r="AK41"/>
      <c r="AL41"/>
      <c r="AM41"/>
      <c r="AN41"/>
      <c r="AO41"/>
      <c r="AP41"/>
      <c r="AQ41"/>
      <c r="AR41"/>
      <c r="DG41" s="1"/>
      <c r="DH41" s="1"/>
      <c r="DI41" s="1"/>
      <c r="DJ41" s="1"/>
      <c r="DK41" s="1"/>
      <c r="DL41" s="1"/>
      <c r="DM41" s="1"/>
      <c r="DN41" s="1"/>
      <c r="DO41" s="1"/>
      <c r="DP41" s="1"/>
      <c r="DQ41" s="1"/>
      <c r="DR41" s="1"/>
    </row>
    <row r="42" spans="2:122" ht="16.5" customHeight="1">
      <c r="B42" s="403"/>
      <c r="C42" s="404"/>
      <c r="D42" s="404"/>
      <c r="E42" s="404"/>
      <c r="F42" s="404"/>
      <c r="G42" s="404"/>
      <c r="H42" s="404"/>
      <c r="I42" s="404"/>
      <c r="J42" s="404"/>
      <c r="K42" s="404"/>
      <c r="L42" s="404"/>
      <c r="M42" s="404"/>
      <c r="N42" s="404"/>
      <c r="O42" s="404"/>
      <c r="P42" s="404"/>
      <c r="Q42" s="404"/>
      <c r="R42" s="405"/>
      <c r="T42" s="10"/>
      <c r="U42" s="94" t="s">
        <v>828</v>
      </c>
      <c r="V42" s="95" t="s">
        <v>795</v>
      </c>
      <c r="W42" s="354">
        <f>((AA18-$N21)+(AA19-$N22)+(AA20-$N23)/15/('General Information'!$C$20/0.008314/(E15+273.15)))</f>
        <v>0</v>
      </c>
      <c r="X42" s="56"/>
      <c r="Y42" s="57"/>
      <c r="Z42" s="61"/>
      <c r="AA42" s="354">
        <f>((AI18-$N21)+(AI19-$N22)+(AI20-$N23)/15/('General Information'!$C$20/0.008314/(I15+273.15)))</f>
        <v>0</v>
      </c>
      <c r="AB42" s="56"/>
      <c r="AC42" s="57"/>
      <c r="AD42" s="13"/>
      <c r="AE42" s="354">
        <f>((AP18-$N21)+(AP19-$N22)+(AP20-$N23)/15/('General Information'!$C$20/0.008314/(M15+273.15)))</f>
        <v>0</v>
      </c>
      <c r="AF42" s="56"/>
      <c r="AG42" s="71"/>
      <c r="AH42" s="71"/>
      <c r="AI42" s="206"/>
      <c r="AJ42"/>
      <c r="AK42"/>
      <c r="AL42"/>
      <c r="AM42"/>
      <c r="AN42"/>
      <c r="AO42"/>
      <c r="AP42"/>
      <c r="AQ42"/>
      <c r="AR42"/>
      <c r="DG42" s="1"/>
      <c r="DH42" s="1"/>
      <c r="DI42" s="1"/>
      <c r="DJ42" s="1"/>
      <c r="DK42" s="1"/>
      <c r="DL42" s="1"/>
      <c r="DM42" s="1"/>
      <c r="DN42" s="1"/>
      <c r="DO42" s="1"/>
      <c r="DP42" s="1"/>
      <c r="DQ42" s="1"/>
      <c r="DR42" s="1"/>
    </row>
    <row r="43" spans="2:122" ht="16.5" customHeight="1">
      <c r="B43" s="403"/>
      <c r="C43" s="404"/>
      <c r="D43" s="404"/>
      <c r="E43" s="404"/>
      <c r="F43" s="404"/>
      <c r="G43" s="404"/>
      <c r="H43" s="404"/>
      <c r="I43" s="404"/>
      <c r="J43" s="404"/>
      <c r="K43" s="404"/>
      <c r="L43" s="404"/>
      <c r="M43" s="404"/>
      <c r="N43" s="404"/>
      <c r="O43" s="404"/>
      <c r="P43" s="404"/>
      <c r="Q43" s="404"/>
      <c r="R43" s="405"/>
      <c r="T43" s="10"/>
      <c r="U43" s="94" t="s">
        <v>821</v>
      </c>
      <c r="V43" s="95" t="s">
        <v>822</v>
      </c>
      <c r="W43" s="355">
        <f>'General Information'!$C$20/0.008314/($E$15+273.15)*W42*0.000001*12</f>
        <v>0</v>
      </c>
      <c r="X43" s="56"/>
      <c r="Y43" s="57"/>
      <c r="Z43" s="61"/>
      <c r="AA43" s="355">
        <f>'General Information'!$C$20/0.008314/($E$15+273.15)*AA42*0.000001*12</f>
        <v>0</v>
      </c>
      <c r="AB43" s="56"/>
      <c r="AC43" s="57"/>
      <c r="AD43" s="13"/>
      <c r="AE43" s="355">
        <f>'General Information'!$C$20/0.008314/($E$15+273.15)*AE42*0.000001*12</f>
        <v>0</v>
      </c>
      <c r="AF43" s="56"/>
      <c r="AG43" s="71"/>
      <c r="AH43" s="71"/>
      <c r="AI43" s="206"/>
      <c r="AJ43"/>
      <c r="AK43"/>
      <c r="AL43"/>
      <c r="AM43"/>
      <c r="AN43"/>
      <c r="AO43"/>
      <c r="AP43"/>
      <c r="AQ43"/>
      <c r="AR43"/>
      <c r="DG43" s="1"/>
      <c r="DH43" s="1"/>
      <c r="DI43" s="1"/>
      <c r="DJ43" s="1"/>
      <c r="DK43" s="1"/>
      <c r="DL43" s="1"/>
      <c r="DM43" s="1"/>
      <c r="DN43" s="1"/>
      <c r="DO43" s="1"/>
      <c r="DP43" s="1"/>
      <c r="DQ43" s="1"/>
      <c r="DR43" s="1"/>
    </row>
    <row r="44" spans="2:122" ht="16.5" customHeight="1">
      <c r="B44" s="403"/>
      <c r="C44" s="404"/>
      <c r="D44" s="404"/>
      <c r="E44" s="404"/>
      <c r="F44" s="404"/>
      <c r="G44" s="404"/>
      <c r="H44" s="404"/>
      <c r="I44" s="404"/>
      <c r="J44" s="404"/>
      <c r="K44" s="404"/>
      <c r="L44" s="404"/>
      <c r="M44" s="404"/>
      <c r="N44" s="404"/>
      <c r="O44" s="404"/>
      <c r="P44" s="404"/>
      <c r="Q44" s="404"/>
      <c r="R44" s="405"/>
      <c r="T44" s="10"/>
      <c r="U44" s="94" t="s">
        <v>849</v>
      </c>
      <c r="V44" s="95" t="s">
        <v>23</v>
      </c>
      <c r="W44" s="354" t="e">
        <f>W43*W41/fuelFracC</f>
        <v>#DIV/0!</v>
      </c>
      <c r="X44" s="56"/>
      <c r="Y44" s="57"/>
      <c r="Z44" s="61"/>
      <c r="AA44" s="354" t="e">
        <f>AA43*AA41/fuelFracC</f>
        <v>#DIV/0!</v>
      </c>
      <c r="AB44" s="56"/>
      <c r="AC44" s="57"/>
      <c r="AD44" s="13"/>
      <c r="AE44" s="354" t="e">
        <f>AE43*AE41/fuelFracC</f>
        <v>#DIV/0!</v>
      </c>
      <c r="AF44" s="56"/>
      <c r="AG44" s="13"/>
      <c r="AH44" s="13"/>
      <c r="AI44" s="14"/>
      <c r="DG44" s="1"/>
      <c r="DH44" s="1"/>
      <c r="DI44" s="1"/>
      <c r="DJ44" s="1"/>
      <c r="DK44" s="1"/>
      <c r="DL44" s="1"/>
      <c r="DM44" s="1"/>
      <c r="DN44" s="1"/>
      <c r="DO44" s="1"/>
      <c r="DP44" s="1"/>
      <c r="DQ44" s="1"/>
      <c r="DR44" s="1"/>
    </row>
    <row r="45" spans="2:35" ht="16.5" customHeight="1">
      <c r="B45" s="403"/>
      <c r="C45" s="404"/>
      <c r="D45" s="404"/>
      <c r="E45" s="404"/>
      <c r="F45" s="404"/>
      <c r="G45" s="404"/>
      <c r="H45" s="404"/>
      <c r="I45" s="404"/>
      <c r="J45" s="404"/>
      <c r="K45" s="404"/>
      <c r="L45" s="404"/>
      <c r="M45" s="404"/>
      <c r="N45" s="404"/>
      <c r="O45" s="404"/>
      <c r="P45" s="404"/>
      <c r="Q45" s="404"/>
      <c r="R45" s="405"/>
      <c r="T45" s="10"/>
      <c r="U45" s="13" t="s">
        <v>838</v>
      </c>
      <c r="V45" s="22" t="s">
        <v>116</v>
      </c>
      <c r="W45" s="354">
        <f>IF(W24=0,0,W44*(1-$E$18)/(W24))</f>
        <v>0</v>
      </c>
      <c r="X45" s="56"/>
      <c r="Y45" s="57"/>
      <c r="Z45" s="61"/>
      <c r="AA45" s="354">
        <f>IF(AA24=0,0,AA44*(1-$E$18)/(AA24))</f>
        <v>0</v>
      </c>
      <c r="AB45" s="13"/>
      <c r="AC45" s="57"/>
      <c r="AD45" s="13"/>
      <c r="AE45" s="354">
        <f>IF(AP24=0,0,AE44*(1-$E$18)/(AP24))</f>
        <v>0</v>
      </c>
      <c r="AF45" s="13"/>
      <c r="AG45" s="13"/>
      <c r="AH45" s="13"/>
      <c r="AI45" s="14"/>
    </row>
    <row r="46" spans="2:35" ht="16.5" customHeight="1">
      <c r="B46" s="105"/>
      <c r="C46" s="106"/>
      <c r="D46" s="106"/>
      <c r="E46" s="106"/>
      <c r="F46" s="106"/>
      <c r="G46" s="106"/>
      <c r="H46" s="106"/>
      <c r="I46" s="106"/>
      <c r="J46" s="106"/>
      <c r="K46" s="106"/>
      <c r="L46" s="106"/>
      <c r="M46" s="106"/>
      <c r="N46" s="106"/>
      <c r="O46" s="106"/>
      <c r="P46" s="106"/>
      <c r="Q46" s="106"/>
      <c r="R46" s="107"/>
      <c r="T46" s="10"/>
      <c r="U46" s="361" t="s">
        <v>827</v>
      </c>
      <c r="V46" s="13"/>
      <c r="W46" s="22"/>
      <c r="X46" s="56"/>
      <c r="Y46" s="57"/>
      <c r="Z46" s="61"/>
      <c r="AA46" s="22"/>
      <c r="AB46" s="13"/>
      <c r="AC46" s="57"/>
      <c r="AD46" s="13"/>
      <c r="AE46" s="22"/>
      <c r="AF46" s="13"/>
      <c r="AG46" s="13"/>
      <c r="AH46" s="13"/>
      <c r="AI46" s="14"/>
    </row>
    <row r="47" spans="2:35" ht="16.5" customHeight="1">
      <c r="B47" s="403"/>
      <c r="C47" s="404"/>
      <c r="D47" s="404"/>
      <c r="E47" s="404"/>
      <c r="F47" s="404"/>
      <c r="G47" s="404"/>
      <c r="H47" s="404"/>
      <c r="I47" s="404"/>
      <c r="J47" s="404"/>
      <c r="K47" s="404"/>
      <c r="L47" s="404"/>
      <c r="M47" s="404"/>
      <c r="N47" s="404"/>
      <c r="O47" s="404"/>
      <c r="P47" s="404"/>
      <c r="Q47" s="404"/>
      <c r="R47" s="405"/>
      <c r="T47" s="10"/>
      <c r="U47" s="13" t="s">
        <v>826</v>
      </c>
      <c r="V47" s="13" t="s">
        <v>167</v>
      </c>
      <c r="W47" s="354">
        <f>W51*W$33/1000</f>
        <v>0</v>
      </c>
      <c r="X47" s="56"/>
      <c r="Y47" s="57"/>
      <c r="Z47" s="61"/>
      <c r="AA47" s="354">
        <f>AA51*AA$33/1000</f>
        <v>0</v>
      </c>
      <c r="AB47" s="13"/>
      <c r="AC47" s="57"/>
      <c r="AD47" s="13"/>
      <c r="AE47" s="354">
        <f>AE51*AP$32/1000</f>
        <v>0</v>
      </c>
      <c r="AF47" s="13"/>
      <c r="AG47" s="13"/>
      <c r="AH47" s="13"/>
      <c r="AI47" s="14"/>
    </row>
    <row r="48" spans="2:35" ht="16.5" customHeight="1">
      <c r="B48" s="400"/>
      <c r="C48" s="401"/>
      <c r="D48" s="401"/>
      <c r="E48" s="401"/>
      <c r="F48" s="401"/>
      <c r="G48" s="401"/>
      <c r="H48" s="401"/>
      <c r="I48" s="401"/>
      <c r="J48" s="401"/>
      <c r="K48" s="401"/>
      <c r="L48" s="401"/>
      <c r="M48" s="401"/>
      <c r="N48" s="401"/>
      <c r="O48" s="401"/>
      <c r="P48" s="401"/>
      <c r="Q48" s="401"/>
      <c r="R48" s="402"/>
      <c r="T48" s="10"/>
      <c r="U48" s="13" t="s">
        <v>824</v>
      </c>
      <c r="V48" s="13" t="s">
        <v>167</v>
      </c>
      <c r="W48" s="354">
        <f>W52*W$33/1000</f>
        <v>0</v>
      </c>
      <c r="X48" s="56"/>
      <c r="Y48" s="57"/>
      <c r="Z48" s="61"/>
      <c r="AA48" s="354">
        <f>AA52*AA$33/1000</f>
        <v>0</v>
      </c>
      <c r="AB48" s="13"/>
      <c r="AC48" s="57"/>
      <c r="AD48" s="13"/>
      <c r="AE48" s="354">
        <f>AE52*AP$32/1000</f>
        <v>0</v>
      </c>
      <c r="AF48" s="13"/>
      <c r="AG48" s="13"/>
      <c r="AH48" s="13"/>
      <c r="AI48" s="14"/>
    </row>
    <row r="49" spans="3:35" ht="18.75" customHeight="1">
      <c r="C49" s="1"/>
      <c r="H49" s="1"/>
      <c r="I49" s="1"/>
      <c r="J49" s="1"/>
      <c r="K49" s="1"/>
      <c r="L49" s="1"/>
      <c r="M49" s="1"/>
      <c r="N49" s="1"/>
      <c r="O49" s="1"/>
      <c r="P49" s="1"/>
      <c r="Q49" s="1"/>
      <c r="R49" s="1"/>
      <c r="T49" s="10"/>
      <c r="U49" s="13" t="s">
        <v>825</v>
      </c>
      <c r="V49" s="13" t="s">
        <v>167</v>
      </c>
      <c r="W49" s="354">
        <f>W53*W$33/1000</f>
        <v>0</v>
      </c>
      <c r="X49" s="13"/>
      <c r="Y49" s="57"/>
      <c r="Z49" s="61"/>
      <c r="AA49" s="354">
        <f>AA53*AA$33/1000</f>
        <v>0</v>
      </c>
      <c r="AB49" s="13"/>
      <c r="AC49" s="57"/>
      <c r="AD49" s="13"/>
      <c r="AE49" s="354">
        <f>AE53*AP$32/1000</f>
        <v>0</v>
      </c>
      <c r="AF49" s="13"/>
      <c r="AG49" s="13"/>
      <c r="AH49" s="13"/>
      <c r="AI49" s="14"/>
    </row>
    <row r="50" spans="2:35" ht="13.5" customHeight="1">
      <c r="B50" s="406" t="s">
        <v>816</v>
      </c>
      <c r="C50" s="407"/>
      <c r="D50" s="407"/>
      <c r="E50" s="407"/>
      <c r="F50" s="407"/>
      <c r="G50" s="407"/>
      <c r="H50" s="407"/>
      <c r="I50" s="407"/>
      <c r="J50" s="407"/>
      <c r="K50" s="407"/>
      <c r="L50" s="407"/>
      <c r="M50" s="407"/>
      <c r="N50" s="407"/>
      <c r="O50" s="407"/>
      <c r="P50" s="407"/>
      <c r="Q50" s="407"/>
      <c r="R50" s="408"/>
      <c r="T50" s="10"/>
      <c r="U50" s="361" t="s">
        <v>823</v>
      </c>
      <c r="V50" s="13"/>
      <c r="W50" s="22"/>
      <c r="X50" s="13"/>
      <c r="Y50" s="57"/>
      <c r="Z50" s="61"/>
      <c r="AA50" s="22"/>
      <c r="AB50" s="13"/>
      <c r="AC50" s="57"/>
      <c r="AD50" s="13"/>
      <c r="AE50" s="22"/>
      <c r="AF50" s="13"/>
      <c r="AG50" s="13"/>
      <c r="AH50" s="13"/>
      <c r="AI50" s="14"/>
    </row>
    <row r="51" spans="2:35" ht="13.5" customHeight="1">
      <c r="B51" s="403"/>
      <c r="C51" s="404"/>
      <c r="D51" s="404"/>
      <c r="E51" s="404"/>
      <c r="F51" s="404"/>
      <c r="G51" s="404"/>
      <c r="H51" s="404"/>
      <c r="I51" s="404"/>
      <c r="J51" s="404"/>
      <c r="K51" s="404"/>
      <c r="L51" s="404"/>
      <c r="M51" s="404"/>
      <c r="N51" s="404"/>
      <c r="O51" s="404"/>
      <c r="P51" s="404"/>
      <c r="Q51" s="404"/>
      <c r="R51" s="405"/>
      <c r="T51" s="10"/>
      <c r="U51" s="13" t="s">
        <v>826</v>
      </c>
      <c r="V51" s="22" t="s">
        <v>835</v>
      </c>
      <c r="W51" s="354">
        <f>IF(W42&gt;0,((AA18-$N21)*44/12)/(W$42/fuelFracC)*1000,0)</f>
        <v>0</v>
      </c>
      <c r="X51" s="13"/>
      <c r="Y51" s="57"/>
      <c r="Z51" s="61"/>
      <c r="AA51" s="354">
        <f>IF(AA42&gt;0,((AI18-$N21)*44/12)/(AA$42/fuelFracC)*1000,0)</f>
        <v>0</v>
      </c>
      <c r="AB51" s="13"/>
      <c r="AC51" s="57"/>
      <c r="AD51" s="13"/>
      <c r="AE51" s="354">
        <f>IF(AE42&gt;0,((AQ18-$N21)*44/12)/(AE$42/fuelFracC)*1000,0)</f>
        <v>0</v>
      </c>
      <c r="AF51" s="13"/>
      <c r="AG51" s="13"/>
      <c r="AH51" s="13"/>
      <c r="AI51" s="14"/>
    </row>
    <row r="52" spans="2:35" ht="13.5" customHeight="1">
      <c r="B52" s="105"/>
      <c r="C52" s="106"/>
      <c r="D52" s="106"/>
      <c r="E52" s="106"/>
      <c r="F52" s="106"/>
      <c r="G52" s="106"/>
      <c r="H52" s="106"/>
      <c r="I52" s="106"/>
      <c r="J52" s="106"/>
      <c r="K52" s="106"/>
      <c r="L52" s="106"/>
      <c r="M52" s="106"/>
      <c r="N52" s="106"/>
      <c r="O52" s="106"/>
      <c r="P52" s="106"/>
      <c r="Q52" s="106"/>
      <c r="R52" s="107"/>
      <c r="T52" s="10"/>
      <c r="U52" s="13" t="s">
        <v>824</v>
      </c>
      <c r="V52" s="22" t="s">
        <v>835</v>
      </c>
      <c r="W52" s="354">
        <f>IF(W42&gt;0,((AA19-$N22)*28/12)/(W$42/fuelFracC)*1000,0)</f>
        <v>0</v>
      </c>
      <c r="X52" s="13"/>
      <c r="Y52" s="57"/>
      <c r="Z52" s="61"/>
      <c r="AA52" s="354">
        <f>IF(AA42&gt;0,((AI19-$N22)*28/12)/(AA$42/fuelFracC)*1000,0)</f>
        <v>0</v>
      </c>
      <c r="AB52" s="13"/>
      <c r="AC52" s="57"/>
      <c r="AD52" s="13"/>
      <c r="AE52" s="354">
        <f>IF(AE42&gt;0,((AP19-$N22)*28/12)/(AE$42/fuelFracC)*1000,0)</f>
        <v>0</v>
      </c>
      <c r="AF52" s="13"/>
      <c r="AG52" s="13"/>
      <c r="AH52" s="13"/>
      <c r="AI52" s="14"/>
    </row>
    <row r="53" spans="2:35" ht="13.5" customHeight="1">
      <c r="B53" s="403"/>
      <c r="C53" s="404"/>
      <c r="D53" s="404"/>
      <c r="E53" s="404"/>
      <c r="F53" s="404"/>
      <c r="G53" s="404"/>
      <c r="H53" s="404"/>
      <c r="I53" s="404"/>
      <c r="J53" s="404"/>
      <c r="K53" s="404"/>
      <c r="L53" s="404"/>
      <c r="M53" s="404"/>
      <c r="N53" s="404"/>
      <c r="O53" s="404"/>
      <c r="P53" s="404"/>
      <c r="Q53" s="404"/>
      <c r="R53" s="405"/>
      <c r="T53" s="10"/>
      <c r="U53" s="13" t="s">
        <v>825</v>
      </c>
      <c r="V53" s="22" t="s">
        <v>835</v>
      </c>
      <c r="W53" s="354">
        <f>IF(W43&gt;0,(AA20-$N23)/(W$43/fuelFracC)*1000/1000000,0)</f>
        <v>0</v>
      </c>
      <c r="X53" s="13"/>
      <c r="Y53" s="57"/>
      <c r="Z53" s="61"/>
      <c r="AA53" s="354">
        <f>IF(AA43&gt;0,(AI20-$N23)/(AA$43/fuelFracC)*1000/1000000,0)</f>
        <v>0</v>
      </c>
      <c r="AB53" s="13"/>
      <c r="AC53" s="57"/>
      <c r="AD53" s="13"/>
      <c r="AE53" s="354">
        <f>IF(AE43&gt;0,(AP20-$N23)/(AE$43/fuelFracC)*1000/1000000,0)</f>
        <v>0</v>
      </c>
      <c r="AF53" s="13"/>
      <c r="AG53" s="13"/>
      <c r="AH53" s="13"/>
      <c r="AI53" s="14"/>
    </row>
    <row r="54" spans="2:35" ht="13.5" customHeight="1" thickBot="1">
      <c r="B54" s="403"/>
      <c r="C54" s="404"/>
      <c r="D54" s="404"/>
      <c r="E54" s="404"/>
      <c r="F54" s="404"/>
      <c r="G54" s="404"/>
      <c r="H54" s="404"/>
      <c r="I54" s="404"/>
      <c r="J54" s="404"/>
      <c r="K54" s="404"/>
      <c r="L54" s="404"/>
      <c r="M54" s="404"/>
      <c r="N54" s="404"/>
      <c r="O54" s="404"/>
      <c r="P54" s="404"/>
      <c r="Q54" s="404"/>
      <c r="R54" s="405"/>
      <c r="T54" s="10"/>
      <c r="U54" s="13"/>
      <c r="V54" s="13"/>
      <c r="W54" s="13"/>
      <c r="X54" s="13"/>
      <c r="Y54" s="57"/>
      <c r="Z54" s="61"/>
      <c r="AA54" s="13"/>
      <c r="AB54" s="13"/>
      <c r="AC54" s="57"/>
      <c r="AD54" s="13"/>
      <c r="AE54" s="13"/>
      <c r="AF54" s="13"/>
      <c r="AG54" s="13"/>
      <c r="AH54" s="13"/>
      <c r="AI54" s="14"/>
    </row>
    <row r="55" spans="2:35" ht="13.5" customHeight="1" thickTop="1">
      <c r="B55" s="403"/>
      <c r="C55" s="404"/>
      <c r="D55" s="404"/>
      <c r="E55" s="404"/>
      <c r="F55" s="404"/>
      <c r="G55" s="404"/>
      <c r="H55" s="404"/>
      <c r="I55" s="404"/>
      <c r="J55" s="404"/>
      <c r="K55" s="404"/>
      <c r="L55" s="404"/>
      <c r="M55" s="404"/>
      <c r="N55" s="404"/>
      <c r="O55" s="404"/>
      <c r="P55" s="404"/>
      <c r="Q55" s="404"/>
      <c r="R55" s="405"/>
      <c r="T55" s="357"/>
      <c r="U55" s="358" t="s">
        <v>832</v>
      </c>
      <c r="V55" s="358"/>
      <c r="W55" s="358"/>
      <c r="X55" s="358"/>
      <c r="Y55" s="358"/>
      <c r="Z55" s="358"/>
      <c r="AA55" s="358"/>
      <c r="AB55" s="358"/>
      <c r="AC55" s="358"/>
      <c r="AD55" s="358"/>
      <c r="AE55" s="358"/>
      <c r="AF55" s="358"/>
      <c r="AG55" s="358"/>
      <c r="AH55" s="358"/>
      <c r="AI55" s="362"/>
    </row>
    <row r="56" spans="2:35" ht="13.5" customHeight="1">
      <c r="B56" s="403"/>
      <c r="C56" s="404"/>
      <c r="D56" s="404"/>
      <c r="E56" s="404"/>
      <c r="F56" s="404"/>
      <c r="G56" s="404"/>
      <c r="H56" s="404"/>
      <c r="I56" s="404"/>
      <c r="J56" s="404"/>
      <c r="K56" s="404"/>
      <c r="L56" s="404"/>
      <c r="M56" s="404"/>
      <c r="N56" s="404"/>
      <c r="O56" s="404"/>
      <c r="P56" s="404"/>
      <c r="Q56" s="404"/>
      <c r="R56" s="405"/>
      <c r="T56" s="10"/>
      <c r="U56" s="13" t="s">
        <v>833</v>
      </c>
      <c r="V56" s="13" t="s">
        <v>23</v>
      </c>
      <c r="W56" s="354">
        <f>(IF(AA$34=0,W48,AVERAGE(W48,AA48))+AE48)*5</f>
        <v>0</v>
      </c>
      <c r="X56" s="13"/>
      <c r="Y56" s="13"/>
      <c r="Z56" s="13"/>
      <c r="AA56" s="13"/>
      <c r="AB56" s="13"/>
      <c r="AC56" s="13"/>
      <c r="AD56" s="13"/>
      <c r="AE56" s="13"/>
      <c r="AF56" s="13"/>
      <c r="AG56" s="13"/>
      <c r="AH56" s="13"/>
      <c r="AI56" s="14"/>
    </row>
    <row r="57" spans="2:35" ht="13.5" customHeight="1" thickBot="1">
      <c r="B57" s="105"/>
      <c r="C57" s="106"/>
      <c r="D57" s="106"/>
      <c r="E57" s="106"/>
      <c r="F57" s="106"/>
      <c r="G57" s="106"/>
      <c r="H57" s="106"/>
      <c r="I57" s="106"/>
      <c r="J57" s="106"/>
      <c r="K57" s="106"/>
      <c r="L57" s="106"/>
      <c r="M57" s="106"/>
      <c r="N57" s="106"/>
      <c r="O57" s="106"/>
      <c r="P57" s="106"/>
      <c r="Q57" s="106"/>
      <c r="R57" s="107"/>
      <c r="T57" s="121"/>
      <c r="U57" s="122" t="s">
        <v>834</v>
      </c>
      <c r="V57" s="122" t="s">
        <v>23</v>
      </c>
      <c r="W57" s="371">
        <f>(IF(AA$34=0,W49,AVERAGE(W49,AA49))+AE49)*5</f>
        <v>0</v>
      </c>
      <c r="X57" s="122"/>
      <c r="Y57" s="122"/>
      <c r="Z57" s="122"/>
      <c r="AA57" s="122"/>
      <c r="AB57" s="122"/>
      <c r="AC57" s="122"/>
      <c r="AD57" s="122"/>
      <c r="AE57" s="122"/>
      <c r="AF57" s="122"/>
      <c r="AG57" s="122"/>
      <c r="AH57" s="122"/>
      <c r="AI57" s="124"/>
    </row>
    <row r="58" spans="2:18" ht="13.5" customHeight="1" thickTop="1">
      <c r="B58" s="403"/>
      <c r="C58" s="404"/>
      <c r="D58" s="404"/>
      <c r="E58" s="404"/>
      <c r="F58" s="404"/>
      <c r="G58" s="404"/>
      <c r="H58" s="404"/>
      <c r="I58" s="404"/>
      <c r="J58" s="404"/>
      <c r="K58" s="404"/>
      <c r="L58" s="404"/>
      <c r="M58" s="404"/>
      <c r="N58" s="404"/>
      <c r="O58" s="404"/>
      <c r="P58" s="404"/>
      <c r="Q58" s="404"/>
      <c r="R58" s="405"/>
    </row>
    <row r="59" spans="2:18" ht="13.5" customHeight="1">
      <c r="B59" s="400"/>
      <c r="C59" s="401"/>
      <c r="D59" s="401"/>
      <c r="E59" s="401"/>
      <c r="F59" s="401"/>
      <c r="G59" s="401"/>
      <c r="H59" s="401"/>
      <c r="I59" s="401"/>
      <c r="J59" s="401"/>
      <c r="K59" s="401"/>
      <c r="L59" s="401"/>
      <c r="M59" s="401"/>
      <c r="N59" s="401"/>
      <c r="O59" s="401"/>
      <c r="P59" s="401"/>
      <c r="Q59" s="401"/>
      <c r="R59" s="402"/>
    </row>
    <row r="61" spans="2:18" ht="15.75" customHeight="1">
      <c r="B61" s="406" t="s">
        <v>817</v>
      </c>
      <c r="C61" s="407"/>
      <c r="D61" s="407"/>
      <c r="E61" s="407"/>
      <c r="F61" s="407"/>
      <c r="G61" s="407"/>
      <c r="H61" s="407"/>
      <c r="I61" s="407"/>
      <c r="J61" s="407"/>
      <c r="K61" s="407"/>
      <c r="L61" s="407"/>
      <c r="M61" s="407"/>
      <c r="N61" s="407"/>
      <c r="O61" s="407"/>
      <c r="P61" s="407"/>
      <c r="Q61" s="407"/>
      <c r="R61" s="408"/>
    </row>
    <row r="62" spans="2:18" ht="15.75" customHeight="1">
      <c r="B62" s="403"/>
      <c r="C62" s="404"/>
      <c r="D62" s="404"/>
      <c r="E62" s="404"/>
      <c r="F62" s="404"/>
      <c r="G62" s="404"/>
      <c r="H62" s="404"/>
      <c r="I62" s="404"/>
      <c r="J62" s="404"/>
      <c r="K62" s="404"/>
      <c r="L62" s="404"/>
      <c r="M62" s="404"/>
      <c r="N62" s="404"/>
      <c r="O62" s="404"/>
      <c r="P62" s="404"/>
      <c r="Q62" s="404"/>
      <c r="R62" s="405"/>
    </row>
    <row r="63" spans="2:18" ht="15.75" customHeight="1">
      <c r="B63" s="105"/>
      <c r="C63" s="106"/>
      <c r="D63" s="106"/>
      <c r="E63" s="106"/>
      <c r="F63" s="106"/>
      <c r="G63" s="106"/>
      <c r="H63" s="106"/>
      <c r="I63" s="106"/>
      <c r="J63" s="106"/>
      <c r="K63" s="106"/>
      <c r="L63" s="106"/>
      <c r="M63" s="106"/>
      <c r="N63" s="106"/>
      <c r="O63" s="106"/>
      <c r="P63" s="106"/>
      <c r="Q63" s="106"/>
      <c r="R63" s="107"/>
    </row>
    <row r="64" spans="2:18" ht="15.75" customHeight="1">
      <c r="B64" s="403"/>
      <c r="C64" s="404"/>
      <c r="D64" s="404"/>
      <c r="E64" s="404"/>
      <c r="F64" s="404"/>
      <c r="G64" s="404"/>
      <c r="H64" s="404"/>
      <c r="I64" s="404"/>
      <c r="J64" s="404"/>
      <c r="K64" s="404"/>
      <c r="L64" s="404"/>
      <c r="M64" s="404"/>
      <c r="N64" s="404"/>
      <c r="O64" s="404"/>
      <c r="P64" s="404"/>
      <c r="Q64" s="404"/>
      <c r="R64" s="405"/>
    </row>
    <row r="65" spans="2:18" ht="15.75" customHeight="1">
      <c r="B65" s="403"/>
      <c r="C65" s="404"/>
      <c r="D65" s="404"/>
      <c r="E65" s="404"/>
      <c r="F65" s="404"/>
      <c r="G65" s="404"/>
      <c r="H65" s="404"/>
      <c r="I65" s="404"/>
      <c r="J65" s="404"/>
      <c r="K65" s="404"/>
      <c r="L65" s="404"/>
      <c r="M65" s="404"/>
      <c r="N65" s="404"/>
      <c r="O65" s="404"/>
      <c r="P65" s="404"/>
      <c r="Q65" s="404"/>
      <c r="R65" s="405"/>
    </row>
    <row r="66" spans="2:18" ht="15.75" customHeight="1">
      <c r="B66" s="403"/>
      <c r="C66" s="404"/>
      <c r="D66" s="404"/>
      <c r="E66" s="404"/>
      <c r="F66" s="404"/>
      <c r="G66" s="404"/>
      <c r="H66" s="404"/>
      <c r="I66" s="404"/>
      <c r="J66" s="404"/>
      <c r="K66" s="404"/>
      <c r="L66" s="404"/>
      <c r="M66" s="404"/>
      <c r="N66" s="404"/>
      <c r="O66" s="404"/>
      <c r="P66" s="404"/>
      <c r="Q66" s="404"/>
      <c r="R66" s="405"/>
    </row>
    <row r="67" spans="2:18" ht="15.75" customHeight="1">
      <c r="B67" s="403"/>
      <c r="C67" s="404"/>
      <c r="D67" s="404"/>
      <c r="E67" s="404"/>
      <c r="F67" s="404"/>
      <c r="G67" s="404"/>
      <c r="H67" s="404"/>
      <c r="I67" s="404"/>
      <c r="J67" s="404"/>
      <c r="K67" s="404"/>
      <c r="L67" s="404"/>
      <c r="M67" s="404"/>
      <c r="N67" s="404"/>
      <c r="O67" s="404"/>
      <c r="P67" s="404"/>
      <c r="Q67" s="404"/>
      <c r="R67" s="405"/>
    </row>
    <row r="68" spans="2:18" ht="15.75" customHeight="1">
      <c r="B68" s="105"/>
      <c r="C68" s="106"/>
      <c r="D68" s="106"/>
      <c r="E68" s="106"/>
      <c r="F68" s="106"/>
      <c r="G68" s="106"/>
      <c r="H68" s="106"/>
      <c r="I68" s="106"/>
      <c r="J68" s="106"/>
      <c r="K68" s="106"/>
      <c r="L68" s="106"/>
      <c r="M68" s="106"/>
      <c r="N68" s="106"/>
      <c r="O68" s="106"/>
      <c r="P68" s="106"/>
      <c r="Q68" s="106"/>
      <c r="R68" s="107"/>
    </row>
    <row r="69" spans="2:18" ht="15.75" customHeight="1">
      <c r="B69" s="403"/>
      <c r="C69" s="404"/>
      <c r="D69" s="404"/>
      <c r="E69" s="404"/>
      <c r="F69" s="404"/>
      <c r="G69" s="404"/>
      <c r="H69" s="404"/>
      <c r="I69" s="404"/>
      <c r="J69" s="404"/>
      <c r="K69" s="404"/>
      <c r="L69" s="404"/>
      <c r="M69" s="404"/>
      <c r="N69" s="404"/>
      <c r="O69" s="404"/>
      <c r="P69" s="404"/>
      <c r="Q69" s="404"/>
      <c r="R69" s="405"/>
    </row>
    <row r="70" spans="2:18" ht="15" customHeight="1">
      <c r="B70" s="400"/>
      <c r="C70" s="401"/>
      <c r="D70" s="401"/>
      <c r="E70" s="401"/>
      <c r="F70" s="401"/>
      <c r="G70" s="401"/>
      <c r="H70" s="401"/>
      <c r="I70" s="401"/>
      <c r="J70" s="401"/>
      <c r="K70" s="401"/>
      <c r="L70" s="401"/>
      <c r="M70" s="401"/>
      <c r="N70" s="401"/>
      <c r="O70" s="401"/>
      <c r="P70" s="401"/>
      <c r="Q70" s="401"/>
      <c r="R70" s="402"/>
    </row>
  </sheetData>
  <sheetProtection/>
  <mergeCells count="73">
    <mergeCell ref="B70:R70"/>
    <mergeCell ref="B26:R26"/>
    <mergeCell ref="B66:R66"/>
    <mergeCell ref="B67:R67"/>
    <mergeCell ref="B69:R69"/>
    <mergeCell ref="B61:R61"/>
    <mergeCell ref="B62:R62"/>
    <mergeCell ref="B64:R64"/>
    <mergeCell ref="B65:R65"/>
    <mergeCell ref="B55:R55"/>
    <mergeCell ref="B45:R45"/>
    <mergeCell ref="B47:R47"/>
    <mergeCell ref="B48:R48"/>
    <mergeCell ref="B56:R56"/>
    <mergeCell ref="B58:R58"/>
    <mergeCell ref="B59:R59"/>
    <mergeCell ref="B50:R50"/>
    <mergeCell ref="B51:R51"/>
    <mergeCell ref="B53:R53"/>
    <mergeCell ref="B54:R54"/>
    <mergeCell ref="AL2:AQ2"/>
    <mergeCell ref="B40:R40"/>
    <mergeCell ref="B39:R39"/>
    <mergeCell ref="B42:R42"/>
    <mergeCell ref="AE3:AF3"/>
    <mergeCell ref="AI3:AJ3"/>
    <mergeCell ref="A2:S2"/>
    <mergeCell ref="W2:AB2"/>
    <mergeCell ref="AE2:AJ2"/>
    <mergeCell ref="AL3:AM3"/>
    <mergeCell ref="B43:R43"/>
    <mergeCell ref="B44:R44"/>
    <mergeCell ref="W3:X3"/>
    <mergeCell ref="AA3:AB3"/>
    <mergeCell ref="D6:K6"/>
    <mergeCell ref="D7:K7"/>
    <mergeCell ref="D8:K8"/>
    <mergeCell ref="D9:K9"/>
    <mergeCell ref="M6:P6"/>
    <mergeCell ref="M7:P7"/>
    <mergeCell ref="AP3:AQ3"/>
    <mergeCell ref="AA4:AB4"/>
    <mergeCell ref="AI4:AJ4"/>
    <mergeCell ref="AL4:AM4"/>
    <mergeCell ref="AP4:AQ4"/>
    <mergeCell ref="W16:X16"/>
    <mergeCell ref="AE16:AF16"/>
    <mergeCell ref="AL16:AM16"/>
    <mergeCell ref="B16:D16"/>
    <mergeCell ref="K16:M16"/>
    <mergeCell ref="D10:K10"/>
    <mergeCell ref="B14:D14"/>
    <mergeCell ref="B15:D15"/>
    <mergeCell ref="K15:M15"/>
    <mergeCell ref="D11:K11"/>
    <mergeCell ref="B35:R35"/>
    <mergeCell ref="B34:R34"/>
    <mergeCell ref="B32:R32"/>
    <mergeCell ref="B31:R31"/>
    <mergeCell ref="K17:M17"/>
    <mergeCell ref="B20:D20"/>
    <mergeCell ref="K18:M18"/>
    <mergeCell ref="E17:G17"/>
    <mergeCell ref="B30:R30"/>
    <mergeCell ref="B29:R29"/>
    <mergeCell ref="B27:R27"/>
    <mergeCell ref="B18:D18"/>
    <mergeCell ref="K19:M19"/>
    <mergeCell ref="B21:D21"/>
    <mergeCell ref="K20:M20"/>
    <mergeCell ref="E25:R25"/>
    <mergeCell ref="B23:D23"/>
    <mergeCell ref="B19:D19"/>
  </mergeCells>
  <printOptions/>
  <pageMargins left="0.7479166666666667" right="0.7479166666666667" top="0.75" bottom="0.75" header="0.5118055555555555" footer="0.5"/>
  <pageSetup horizontalDpi="300" verticalDpi="300" orientation="landscape" scale="90" r:id="rId4"/>
  <headerFooter alignWithMargins="0">
    <oddFooter>&amp;L&amp;F&amp;C&amp;A&amp;RPage &amp;P</oddFooter>
  </headerFooter>
  <rowBreaks count="1" manualBreakCount="1">
    <brk id="37" max="255" man="1"/>
  </rowBreaks>
  <colBreaks count="2" manualBreakCount="2">
    <brk id="19" max="65535" man="1"/>
    <brk id="52"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DU72"/>
  <sheetViews>
    <sheetView showGridLines="0" showZeros="0" zoomScale="75" zoomScaleNormal="75" zoomScaleSheetLayoutView="100" zoomScalePageLayoutView="0" workbookViewId="0" topLeftCell="A1">
      <selection activeCell="D12" sqref="D12"/>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7.710937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5.421875" style="3" customWidth="1"/>
    <col min="23" max="23" width="8.7109375" style="3" customWidth="1"/>
    <col min="24" max="24" width="5.00390625" style="3" customWidth="1"/>
    <col min="25" max="26" width="0.85546875" style="3" customWidth="1"/>
    <col min="27" max="27" width="8.7109375" style="3" customWidth="1"/>
    <col min="28" max="28" width="5.7109375" style="3" customWidth="1"/>
    <col min="29" max="30" width="0.85546875" style="3" customWidth="1"/>
    <col min="31" max="31" width="8.140625" style="3" customWidth="1"/>
    <col min="32" max="32" width="4.7109375" style="3" customWidth="1"/>
    <col min="33" max="34" width="0.85546875" style="3" customWidth="1"/>
    <col min="35" max="35" width="8.140625" style="3" customWidth="1"/>
    <col min="36" max="36" width="5.140625" style="3" customWidth="1"/>
    <col min="37" max="37" width="0.85546875" style="3" customWidth="1"/>
    <col min="38" max="38" width="8.421875" style="3" customWidth="1"/>
    <col min="39" max="39" width="5.8515625" style="3" customWidth="1"/>
    <col min="40" max="41" width="0.9921875" style="3" customWidth="1"/>
    <col min="42" max="42" width="8.140625" style="3" customWidth="1"/>
    <col min="43" max="43" width="6.140625" style="3" customWidth="1"/>
    <col min="44" max="44" width="1.7109375" style="3" customWidth="1"/>
    <col min="45" max="45" width="33.71093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5"/>
      <c r="AT1" s="6"/>
      <c r="DS1"/>
      <c r="DT1"/>
      <c r="DU1"/>
    </row>
    <row r="2" spans="1:44" ht="13.5" customHeight="1" thickBot="1">
      <c r="A2" s="420" t="str">
        <f>"WATER BOILING TEST - VERSION "&amp;version&amp;" - TEST #1"</f>
        <v>WATER BOILING TEST - VERSION 4.1.2 - TEST #1</v>
      </c>
      <c r="B2" s="420"/>
      <c r="C2" s="420"/>
      <c r="D2" s="420"/>
      <c r="E2" s="420"/>
      <c r="F2" s="420"/>
      <c r="G2" s="420"/>
      <c r="H2" s="420"/>
      <c r="I2" s="420"/>
      <c r="J2" s="420"/>
      <c r="K2" s="420"/>
      <c r="L2" s="420"/>
      <c r="M2" s="420"/>
      <c r="N2" s="420"/>
      <c r="O2" s="420"/>
      <c r="P2" s="420"/>
      <c r="Q2" s="420"/>
      <c r="R2" s="420"/>
      <c r="S2" s="420"/>
      <c r="T2" s="10"/>
      <c r="U2" s="352" t="str">
        <f>"TEST #1 "&amp;D7</f>
        <v>TEST #1 </v>
      </c>
      <c r="V2" s="11"/>
      <c r="W2" s="421" t="s">
        <v>0</v>
      </c>
      <c r="X2" s="421"/>
      <c r="Y2" s="421"/>
      <c r="Z2" s="421"/>
      <c r="AA2" s="421"/>
      <c r="AB2" s="421"/>
      <c r="AC2" s="353"/>
      <c r="AD2" s="12"/>
      <c r="AE2" s="421" t="s">
        <v>1</v>
      </c>
      <c r="AF2" s="421"/>
      <c r="AG2" s="421"/>
      <c r="AH2" s="421"/>
      <c r="AI2" s="421"/>
      <c r="AJ2" s="421"/>
      <c r="AK2" s="13"/>
      <c r="AL2" s="421" t="s">
        <v>2</v>
      </c>
      <c r="AM2" s="421"/>
      <c r="AN2" s="421"/>
      <c r="AO2" s="421"/>
      <c r="AP2" s="421"/>
      <c r="AQ2" s="421"/>
      <c r="AR2" s="14"/>
    </row>
    <row r="3" spans="1:44" ht="12.75" customHeight="1">
      <c r="A3" s="16"/>
      <c r="B3" s="17" t="s">
        <v>760</v>
      </c>
      <c r="C3" s="17"/>
      <c r="D3" s="17"/>
      <c r="E3" s="17"/>
      <c r="F3" s="17"/>
      <c r="G3" s="17"/>
      <c r="H3" s="17"/>
      <c r="I3" s="17"/>
      <c r="J3" s="17"/>
      <c r="K3" s="17"/>
      <c r="L3" s="17"/>
      <c r="M3" s="17"/>
      <c r="N3" s="17"/>
      <c r="O3" s="17"/>
      <c r="P3" s="17"/>
      <c r="Q3" s="17"/>
      <c r="R3" s="17"/>
      <c r="S3" s="18"/>
      <c r="T3" s="19"/>
      <c r="U3" s="20"/>
      <c r="V3" s="21"/>
      <c r="W3" s="412" t="s">
        <v>3</v>
      </c>
      <c r="X3" s="412"/>
      <c r="Y3" s="23"/>
      <c r="Z3" s="13"/>
      <c r="AA3" s="413" t="s">
        <v>4</v>
      </c>
      <c r="AB3" s="413"/>
      <c r="AC3" s="24"/>
      <c r="AD3" s="12"/>
      <c r="AE3" s="414" t="s">
        <v>3</v>
      </c>
      <c r="AF3" s="414"/>
      <c r="AG3" s="23"/>
      <c r="AH3" s="13"/>
      <c r="AI3" s="413" t="s">
        <v>4</v>
      </c>
      <c r="AJ3" s="413"/>
      <c r="AK3" s="12"/>
      <c r="AL3" s="422" t="s">
        <v>5</v>
      </c>
      <c r="AM3" s="422"/>
      <c r="AN3" s="23"/>
      <c r="AO3" s="13"/>
      <c r="AP3" s="409" t="s">
        <v>6</v>
      </c>
      <c r="AQ3" s="409"/>
      <c r="AR3" s="14"/>
    </row>
    <row r="4" spans="1:44" ht="12.75" customHeight="1">
      <c r="A4" s="25"/>
      <c r="B4" s="26" t="s">
        <v>761</v>
      </c>
      <c r="C4" s="26"/>
      <c r="D4" s="26"/>
      <c r="E4" s="26"/>
      <c r="F4" s="26"/>
      <c r="G4" s="26"/>
      <c r="H4" s="26"/>
      <c r="I4" s="26"/>
      <c r="J4" s="27"/>
      <c r="K4" s="27"/>
      <c r="L4" s="27"/>
      <c r="M4" s="27"/>
      <c r="N4" s="27"/>
      <c r="O4" s="27"/>
      <c r="P4" s="27"/>
      <c r="Q4" s="27"/>
      <c r="R4" s="27"/>
      <c r="S4" s="15"/>
      <c r="T4" s="28"/>
      <c r="U4" s="29"/>
      <c r="V4" s="30"/>
      <c r="W4" s="31"/>
      <c r="X4" s="31"/>
      <c r="Y4" s="32"/>
      <c r="Z4" s="33"/>
      <c r="AA4" s="416" t="s">
        <v>7</v>
      </c>
      <c r="AB4" s="416"/>
      <c r="AC4" s="24"/>
      <c r="AD4" s="12"/>
      <c r="AE4" s="31"/>
      <c r="AF4" s="31"/>
      <c r="AG4" s="32"/>
      <c r="AH4" s="33"/>
      <c r="AI4" s="416" t="s">
        <v>7</v>
      </c>
      <c r="AJ4" s="416"/>
      <c r="AK4" s="12"/>
      <c r="AL4" s="417" t="s">
        <v>7</v>
      </c>
      <c r="AM4" s="417"/>
      <c r="AN4" s="34"/>
      <c r="AO4" s="31"/>
      <c r="AP4" s="418" t="s">
        <v>8</v>
      </c>
      <c r="AQ4" s="418"/>
      <c r="AR4" s="14"/>
    </row>
    <row r="5" spans="1:44" ht="13.5" customHeight="1" thickBot="1">
      <c r="A5" s="25"/>
      <c r="B5" s="35" t="s">
        <v>9</v>
      </c>
      <c r="D5" s="2"/>
      <c r="E5" s="2"/>
      <c r="F5" s="2"/>
      <c r="G5" s="2"/>
      <c r="S5" s="15"/>
      <c r="T5" s="28"/>
      <c r="U5" s="36" t="s">
        <v>10</v>
      </c>
      <c r="V5" s="37" t="s">
        <v>11</v>
      </c>
      <c r="W5" s="38" t="s">
        <v>12</v>
      </c>
      <c r="X5" s="38" t="s">
        <v>13</v>
      </c>
      <c r="Y5" s="39"/>
      <c r="Z5" s="38"/>
      <c r="AA5" s="38" t="s">
        <v>12</v>
      </c>
      <c r="AB5" s="37" t="s">
        <v>13</v>
      </c>
      <c r="AC5" s="24"/>
      <c r="AD5" s="12"/>
      <c r="AE5" s="38" t="s">
        <v>12</v>
      </c>
      <c r="AF5" s="38" t="s">
        <v>13</v>
      </c>
      <c r="AG5" s="40"/>
      <c r="AH5" s="41"/>
      <c r="AI5" s="38" t="s">
        <v>12</v>
      </c>
      <c r="AJ5" s="37" t="s">
        <v>13</v>
      </c>
      <c r="AK5" s="12"/>
      <c r="AL5" s="38" t="s">
        <v>12</v>
      </c>
      <c r="AM5" s="38" t="s">
        <v>13</v>
      </c>
      <c r="AN5" s="40"/>
      <c r="AO5" s="41"/>
      <c r="AP5" s="38" t="s">
        <v>12</v>
      </c>
      <c r="AQ5" s="37" t="s">
        <v>13</v>
      </c>
      <c r="AR5" s="14"/>
    </row>
    <row r="6" spans="1:44" ht="15.75" customHeight="1">
      <c r="A6" s="25"/>
      <c r="B6" s="2" t="s">
        <v>14</v>
      </c>
      <c r="D6" s="419"/>
      <c r="E6" s="419"/>
      <c r="F6" s="419"/>
      <c r="G6" s="419"/>
      <c r="H6" s="419"/>
      <c r="I6" s="419"/>
      <c r="J6" s="419"/>
      <c r="K6" s="419"/>
      <c r="M6" s="410" t="s">
        <v>854</v>
      </c>
      <c r="N6" s="410"/>
      <c r="O6" s="410"/>
      <c r="P6" s="410"/>
      <c r="Q6" s="377"/>
      <c r="R6" s="377"/>
      <c r="S6" s="15"/>
      <c r="T6" s="28"/>
      <c r="U6" s="30" t="s">
        <v>727</v>
      </c>
      <c r="V6" s="24" t="s">
        <v>15</v>
      </c>
      <c r="W6" s="42"/>
      <c r="X6" s="43" t="s">
        <v>16</v>
      </c>
      <c r="Y6" s="44"/>
      <c r="Z6" s="43"/>
      <c r="AA6" s="42"/>
      <c r="AB6" s="45" t="s">
        <v>17</v>
      </c>
      <c r="AC6" s="45"/>
      <c r="AD6" s="12"/>
      <c r="AE6" s="42"/>
      <c r="AF6" s="43" t="s">
        <v>18</v>
      </c>
      <c r="AG6" s="46"/>
      <c r="AH6" s="13"/>
      <c r="AI6" s="42"/>
      <c r="AJ6" s="45" t="s">
        <v>19</v>
      </c>
      <c r="AK6" s="12"/>
      <c r="AL6" s="42"/>
      <c r="AM6" s="43" t="s">
        <v>20</v>
      </c>
      <c r="AN6" s="46"/>
      <c r="AO6" s="13"/>
      <c r="AP6" s="42"/>
      <c r="AQ6" s="45" t="s">
        <v>21</v>
      </c>
      <c r="AR6" s="14"/>
    </row>
    <row r="7" spans="1:44" ht="15.75" customHeight="1">
      <c r="A7" s="25"/>
      <c r="B7" s="2" t="s">
        <v>30</v>
      </c>
      <c r="D7" s="419"/>
      <c r="E7" s="419"/>
      <c r="F7" s="419"/>
      <c r="G7" s="419"/>
      <c r="H7" s="419"/>
      <c r="I7" s="419"/>
      <c r="J7" s="419"/>
      <c r="K7" s="419"/>
      <c r="M7" s="411" t="s">
        <v>855</v>
      </c>
      <c r="N7" s="411"/>
      <c r="O7" s="411"/>
      <c r="P7" s="411"/>
      <c r="Q7" s="377"/>
      <c r="R7" s="377"/>
      <c r="S7" s="15"/>
      <c r="T7" s="28"/>
      <c r="U7" s="30" t="s">
        <v>22</v>
      </c>
      <c r="V7" s="24" t="s">
        <v>23</v>
      </c>
      <c r="W7" s="47"/>
      <c r="X7" s="43" t="s">
        <v>24</v>
      </c>
      <c r="Y7" s="44"/>
      <c r="Z7" s="43"/>
      <c r="AA7" s="47"/>
      <c r="AB7" s="45" t="s">
        <v>25</v>
      </c>
      <c r="AC7" s="45"/>
      <c r="AD7" s="12"/>
      <c r="AE7" s="47"/>
      <c r="AF7" s="43" t="s">
        <v>26</v>
      </c>
      <c r="AG7" s="46"/>
      <c r="AH7" s="13"/>
      <c r="AI7" s="47"/>
      <c r="AJ7" s="45" t="s">
        <v>27</v>
      </c>
      <c r="AK7" s="12"/>
      <c r="AL7" s="47"/>
      <c r="AM7" s="43" t="s">
        <v>28</v>
      </c>
      <c r="AN7" s="46"/>
      <c r="AO7" s="13"/>
      <c r="AP7" s="47"/>
      <c r="AQ7" s="45" t="s">
        <v>29</v>
      </c>
      <c r="AR7" s="14"/>
    </row>
    <row r="8" spans="1:44" ht="15.75" customHeight="1">
      <c r="A8" s="25"/>
      <c r="B8" s="2" t="s">
        <v>39</v>
      </c>
      <c r="D8" s="424"/>
      <c r="E8" s="419"/>
      <c r="F8" s="419"/>
      <c r="G8" s="419"/>
      <c r="H8" s="419"/>
      <c r="I8" s="419"/>
      <c r="J8" s="419"/>
      <c r="K8" s="419"/>
      <c r="M8" s="377"/>
      <c r="N8" s="377"/>
      <c r="O8" s="377"/>
      <c r="P8" s="377"/>
      <c r="Q8" s="377"/>
      <c r="R8" s="377"/>
      <c r="S8" s="15"/>
      <c r="T8" s="28"/>
      <c r="U8" s="30" t="s">
        <v>31</v>
      </c>
      <c r="V8" s="24" t="s">
        <v>32</v>
      </c>
      <c r="W8" s="48"/>
      <c r="X8" s="49" t="s">
        <v>33</v>
      </c>
      <c r="Y8" s="50"/>
      <c r="Z8" s="49"/>
      <c r="AA8" s="48"/>
      <c r="AB8" s="51" t="s">
        <v>34</v>
      </c>
      <c r="AC8" s="51"/>
      <c r="AD8" s="52"/>
      <c r="AE8" s="48"/>
      <c r="AF8" s="49" t="s">
        <v>35</v>
      </c>
      <c r="AG8" s="53"/>
      <c r="AH8" s="54"/>
      <c r="AI8" s="48"/>
      <c r="AJ8" s="45" t="s">
        <v>36</v>
      </c>
      <c r="AK8" s="12"/>
      <c r="AL8" s="47"/>
      <c r="AM8" s="43" t="s">
        <v>37</v>
      </c>
      <c r="AN8" s="46"/>
      <c r="AO8" s="13"/>
      <c r="AP8" s="48"/>
      <c r="AQ8" s="45" t="s">
        <v>38</v>
      </c>
      <c r="AR8" s="14"/>
    </row>
    <row r="9" spans="1:44" ht="15.75" customHeight="1">
      <c r="A9" s="25"/>
      <c r="B9" s="2" t="s">
        <v>53</v>
      </c>
      <c r="D9" s="425">
        <f>'General Information'!C6</f>
        <v>0</v>
      </c>
      <c r="E9" s="425"/>
      <c r="F9" s="425"/>
      <c r="G9" s="425"/>
      <c r="H9" s="425"/>
      <c r="I9" s="425"/>
      <c r="J9" s="425"/>
      <c r="K9" s="425"/>
      <c r="M9" s="377"/>
      <c r="N9" s="377"/>
      <c r="O9" s="377"/>
      <c r="P9" s="377"/>
      <c r="Q9" s="377"/>
      <c r="R9" s="377"/>
      <c r="S9" s="15"/>
      <c r="T9" s="28"/>
      <c r="U9" s="55" t="s">
        <v>40</v>
      </c>
      <c r="V9" s="24" t="s">
        <v>32</v>
      </c>
      <c r="W9" s="48"/>
      <c r="X9" s="49" t="s">
        <v>193</v>
      </c>
      <c r="Y9" s="50"/>
      <c r="Z9" s="49"/>
      <c r="AA9" s="48"/>
      <c r="AB9" s="51" t="s">
        <v>41</v>
      </c>
      <c r="AC9" s="51"/>
      <c r="AD9" s="52"/>
      <c r="AE9" s="48"/>
      <c r="AF9" s="49" t="s">
        <v>42</v>
      </c>
      <c r="AG9" s="53"/>
      <c r="AH9" s="54"/>
      <c r="AI9" s="48"/>
      <c r="AJ9" s="45" t="s">
        <v>43</v>
      </c>
      <c r="AK9" s="12"/>
      <c r="AL9" s="47"/>
      <c r="AM9" s="56" t="s">
        <v>44</v>
      </c>
      <c r="AN9" s="57"/>
      <c r="AO9" s="58"/>
      <c r="AP9" s="48"/>
      <c r="AQ9" s="59" t="s">
        <v>45</v>
      </c>
      <c r="AR9" s="14"/>
    </row>
    <row r="10" spans="1:44" ht="15.75" customHeight="1">
      <c r="A10" s="25"/>
      <c r="B10" s="2" t="s">
        <v>46</v>
      </c>
      <c r="D10" s="426">
        <f>'General Information'!C8</f>
        <v>0</v>
      </c>
      <c r="E10" s="426"/>
      <c r="F10" s="426"/>
      <c r="G10" s="426"/>
      <c r="H10" s="426"/>
      <c r="I10" s="426"/>
      <c r="J10" s="426"/>
      <c r="K10" s="426"/>
      <c r="S10" s="15"/>
      <c r="T10" s="28"/>
      <c r="U10" s="55" t="s">
        <v>47</v>
      </c>
      <c r="V10" s="24" t="s">
        <v>32</v>
      </c>
      <c r="W10" s="48"/>
      <c r="X10" s="49" t="s">
        <v>194</v>
      </c>
      <c r="Y10" s="50"/>
      <c r="Z10" s="49"/>
      <c r="AA10" s="48"/>
      <c r="AB10" s="51" t="s">
        <v>48</v>
      </c>
      <c r="AC10" s="51"/>
      <c r="AD10" s="52"/>
      <c r="AE10" s="48"/>
      <c r="AF10" s="49" t="s">
        <v>49</v>
      </c>
      <c r="AG10" s="53"/>
      <c r="AH10" s="54"/>
      <c r="AI10" s="48"/>
      <c r="AJ10" s="45" t="s">
        <v>50</v>
      </c>
      <c r="AK10" s="12"/>
      <c r="AL10" s="47"/>
      <c r="AM10" s="56" t="s">
        <v>51</v>
      </c>
      <c r="AN10" s="57"/>
      <c r="AO10" s="58"/>
      <c r="AP10" s="48"/>
      <c r="AQ10" s="59" t="s">
        <v>52</v>
      </c>
      <c r="AR10" s="14"/>
    </row>
    <row r="11" spans="1:44" ht="15.75" customHeight="1">
      <c r="A11" s="25"/>
      <c r="B11" s="2" t="s">
        <v>61</v>
      </c>
      <c r="D11" s="423">
        <f>'General Information'!J3</f>
        <v>0</v>
      </c>
      <c r="E11" s="423"/>
      <c r="F11" s="423"/>
      <c r="G11" s="423"/>
      <c r="H11" s="423"/>
      <c r="I11" s="423"/>
      <c r="J11" s="423"/>
      <c r="K11" s="423"/>
      <c r="S11" s="15"/>
      <c r="T11" s="28"/>
      <c r="U11" s="55" t="s">
        <v>54</v>
      </c>
      <c r="V11" s="24" t="s">
        <v>32</v>
      </c>
      <c r="W11" s="48"/>
      <c r="X11" s="49" t="s">
        <v>55</v>
      </c>
      <c r="Y11" s="50"/>
      <c r="Z11" s="49"/>
      <c r="AA11" s="48"/>
      <c r="AB11" s="51" t="s">
        <v>56</v>
      </c>
      <c r="AC11" s="51"/>
      <c r="AD11" s="52"/>
      <c r="AE11" s="48"/>
      <c r="AF11" s="49" t="s">
        <v>57</v>
      </c>
      <c r="AG11" s="53"/>
      <c r="AH11" s="54"/>
      <c r="AI11" s="48"/>
      <c r="AJ11" s="45" t="s">
        <v>58</v>
      </c>
      <c r="AK11" s="12"/>
      <c r="AL11" s="47"/>
      <c r="AM11" s="56" t="s">
        <v>59</v>
      </c>
      <c r="AN11" s="57"/>
      <c r="AO11" s="58"/>
      <c r="AP11" s="48"/>
      <c r="AQ11" s="59" t="s">
        <v>60</v>
      </c>
      <c r="AR11" s="14"/>
    </row>
    <row r="12" spans="1:44" ht="15.75" customHeight="1">
      <c r="A12" s="25"/>
      <c r="B12" s="2"/>
      <c r="D12" s="60"/>
      <c r="E12" s="60"/>
      <c r="F12" s="60"/>
      <c r="G12" s="60"/>
      <c r="H12" s="60"/>
      <c r="I12" s="60"/>
      <c r="J12" s="60"/>
      <c r="S12" s="15"/>
      <c r="T12" s="28"/>
      <c r="U12" s="30" t="s">
        <v>62</v>
      </c>
      <c r="V12" s="24" t="s">
        <v>23</v>
      </c>
      <c r="W12" s="47"/>
      <c r="X12" s="43" t="s">
        <v>63</v>
      </c>
      <c r="Y12" s="44"/>
      <c r="Z12" s="43"/>
      <c r="AA12" s="47"/>
      <c r="AB12" s="45" t="s">
        <v>64</v>
      </c>
      <c r="AC12" s="45"/>
      <c r="AD12" s="12"/>
      <c r="AE12" s="47"/>
      <c r="AF12" s="43" t="s">
        <v>65</v>
      </c>
      <c r="AG12" s="46"/>
      <c r="AH12" s="13"/>
      <c r="AI12" s="47"/>
      <c r="AJ12" s="45" t="s">
        <v>66</v>
      </c>
      <c r="AK12" s="12"/>
      <c r="AL12" s="47"/>
      <c r="AM12" s="56" t="s">
        <v>67</v>
      </c>
      <c r="AN12" s="57"/>
      <c r="AO12" s="61"/>
      <c r="AP12" s="47"/>
      <c r="AQ12" s="59" t="s">
        <v>68</v>
      </c>
      <c r="AR12" s="14"/>
    </row>
    <row r="13" spans="1:44" ht="15.75" customHeight="1" thickBot="1">
      <c r="A13" s="25"/>
      <c r="B13" s="62" t="s">
        <v>83</v>
      </c>
      <c r="C13" s="63"/>
      <c r="D13" s="64"/>
      <c r="E13" s="65"/>
      <c r="F13" s="64"/>
      <c r="G13" s="64"/>
      <c r="H13" s="64"/>
      <c r="I13" s="64"/>
      <c r="J13" s="64"/>
      <c r="K13" s="66"/>
      <c r="L13" s="66"/>
      <c r="M13" s="66"/>
      <c r="N13" s="66"/>
      <c r="O13" s="66"/>
      <c r="P13" s="66"/>
      <c r="Q13" s="66"/>
      <c r="R13" s="66"/>
      <c r="S13" s="15"/>
      <c r="T13" s="28"/>
      <c r="U13" s="55" t="s">
        <v>69</v>
      </c>
      <c r="V13" s="24" t="s">
        <v>23</v>
      </c>
      <c r="W13" s="47"/>
      <c r="X13" s="43" t="s">
        <v>70</v>
      </c>
      <c r="Y13" s="44"/>
      <c r="Z13" s="43"/>
      <c r="AA13" s="47"/>
      <c r="AB13" s="45" t="s">
        <v>71</v>
      </c>
      <c r="AC13" s="45"/>
      <c r="AD13" s="12"/>
      <c r="AE13" s="47"/>
      <c r="AF13" s="43" t="s">
        <v>72</v>
      </c>
      <c r="AG13" s="46"/>
      <c r="AH13" s="13"/>
      <c r="AI13" s="47"/>
      <c r="AJ13" s="45" t="s">
        <v>73</v>
      </c>
      <c r="AK13" s="12"/>
      <c r="AL13" s="47"/>
      <c r="AM13" s="56" t="s">
        <v>74</v>
      </c>
      <c r="AN13" s="57"/>
      <c r="AO13" s="58"/>
      <c r="AP13" s="47"/>
      <c r="AQ13" s="59" t="s">
        <v>75</v>
      </c>
      <c r="AR13" s="14"/>
    </row>
    <row r="14" spans="1:44" ht="15.75" customHeight="1">
      <c r="A14" s="25"/>
      <c r="B14" s="415" t="s">
        <v>91</v>
      </c>
      <c r="C14" s="415"/>
      <c r="D14" s="415"/>
      <c r="E14" s="67" t="s">
        <v>92</v>
      </c>
      <c r="F14" s="67"/>
      <c r="G14" s="67" t="s">
        <v>93</v>
      </c>
      <c r="H14" s="68"/>
      <c r="I14" s="69" t="s">
        <v>13</v>
      </c>
      <c r="J14" s="68"/>
      <c r="K14" s="68" t="s">
        <v>91</v>
      </c>
      <c r="L14" s="68"/>
      <c r="M14" s="68"/>
      <c r="N14" s="67" t="s">
        <v>92</v>
      </c>
      <c r="O14" s="67"/>
      <c r="P14" s="68" t="s">
        <v>93</v>
      </c>
      <c r="Q14" s="68"/>
      <c r="R14" s="69" t="s">
        <v>13</v>
      </c>
      <c r="S14" s="15"/>
      <c r="T14" s="28"/>
      <c r="U14" s="55" t="s">
        <v>76</v>
      </c>
      <c r="V14" s="24" t="s">
        <v>23</v>
      </c>
      <c r="W14" s="47"/>
      <c r="X14" s="43" t="s">
        <v>77</v>
      </c>
      <c r="Y14" s="44"/>
      <c r="Z14" s="43"/>
      <c r="AA14" s="47"/>
      <c r="AB14" s="45" t="s">
        <v>78</v>
      </c>
      <c r="AC14" s="45"/>
      <c r="AD14" s="12"/>
      <c r="AE14" s="47"/>
      <c r="AF14" s="43" t="s">
        <v>79</v>
      </c>
      <c r="AG14" s="46"/>
      <c r="AH14" s="13"/>
      <c r="AI14" s="47"/>
      <c r="AJ14" s="45" t="s">
        <v>80</v>
      </c>
      <c r="AK14" s="12"/>
      <c r="AL14" s="47"/>
      <c r="AM14" s="56" t="s">
        <v>81</v>
      </c>
      <c r="AN14" s="57"/>
      <c r="AO14" s="58"/>
      <c r="AP14" s="47"/>
      <c r="AQ14" s="59" t="s">
        <v>82</v>
      </c>
      <c r="AR14" s="14"/>
    </row>
    <row r="15" spans="1:44" ht="15.75" customHeight="1">
      <c r="A15" s="25"/>
      <c r="B15" s="428" t="s">
        <v>711</v>
      </c>
      <c r="C15" s="428"/>
      <c r="D15" s="428"/>
      <c r="E15" s="73"/>
      <c r="F15" s="74"/>
      <c r="G15" s="2" t="s">
        <v>32</v>
      </c>
      <c r="J15" s="75"/>
      <c r="K15" s="428" t="s">
        <v>96</v>
      </c>
      <c r="L15" s="428"/>
      <c r="M15" s="428"/>
      <c r="N15" s="265"/>
      <c r="O15" s="74"/>
      <c r="P15" s="22" t="s">
        <v>23</v>
      </c>
      <c r="R15" s="43" t="s">
        <v>97</v>
      </c>
      <c r="S15" s="15"/>
      <c r="T15" s="28"/>
      <c r="U15" s="55" t="s">
        <v>84</v>
      </c>
      <c r="V15" s="24" t="s">
        <v>23</v>
      </c>
      <c r="W15" s="47"/>
      <c r="X15" s="43" t="s">
        <v>85</v>
      </c>
      <c r="Y15" s="44"/>
      <c r="Z15" s="43"/>
      <c r="AA15" s="47"/>
      <c r="AB15" s="45" t="s">
        <v>86</v>
      </c>
      <c r="AC15" s="45"/>
      <c r="AD15" s="12"/>
      <c r="AE15" s="47"/>
      <c r="AF15" s="43" t="s">
        <v>87</v>
      </c>
      <c r="AG15" s="46"/>
      <c r="AH15" s="13"/>
      <c r="AI15" s="47"/>
      <c r="AJ15" s="45" t="s">
        <v>88</v>
      </c>
      <c r="AK15" s="12"/>
      <c r="AL15" s="47"/>
      <c r="AM15" s="56" t="s">
        <v>89</v>
      </c>
      <c r="AN15" s="57"/>
      <c r="AO15" s="58"/>
      <c r="AP15" s="47"/>
      <c r="AQ15" s="59" t="s">
        <v>90</v>
      </c>
      <c r="AR15" s="14"/>
    </row>
    <row r="16" spans="1:44" ht="15.75" customHeight="1">
      <c r="A16" s="25"/>
      <c r="B16" s="428" t="s">
        <v>733</v>
      </c>
      <c r="C16" s="428"/>
      <c r="D16" s="428"/>
      <c r="E16" s="74">
        <v>1</v>
      </c>
      <c r="F16" s="74"/>
      <c r="G16" s="2"/>
      <c r="J16" s="75"/>
      <c r="K16" s="428" t="s">
        <v>102</v>
      </c>
      <c r="L16" s="428"/>
      <c r="M16" s="428"/>
      <c r="N16" s="265"/>
      <c r="O16" s="74"/>
      <c r="P16" s="22" t="s">
        <v>23</v>
      </c>
      <c r="R16" s="43" t="s">
        <v>103</v>
      </c>
      <c r="S16" s="15"/>
      <c r="T16" s="28"/>
      <c r="U16" s="55" t="s">
        <v>94</v>
      </c>
      <c r="V16" s="24" t="s">
        <v>95</v>
      </c>
      <c r="W16" s="427"/>
      <c r="X16" s="427"/>
      <c r="Y16" s="70"/>
      <c r="Z16" s="71"/>
      <c r="AA16" s="72"/>
      <c r="AB16" s="45"/>
      <c r="AC16" s="45"/>
      <c r="AD16" s="12"/>
      <c r="AE16" s="427"/>
      <c r="AF16" s="427"/>
      <c r="AG16" s="46"/>
      <c r="AH16" s="13"/>
      <c r="AI16" s="72"/>
      <c r="AJ16" s="21"/>
      <c r="AK16" s="12"/>
      <c r="AL16" s="427"/>
      <c r="AM16" s="427"/>
      <c r="AN16" s="46"/>
      <c r="AO16" s="13"/>
      <c r="AP16" s="13"/>
      <c r="AQ16" s="21"/>
      <c r="AR16" s="14"/>
    </row>
    <row r="17" spans="1:44" ht="15.75" customHeight="1">
      <c r="A17" s="25"/>
      <c r="B17" s="1" t="s">
        <v>785</v>
      </c>
      <c r="E17" s="429"/>
      <c r="F17" s="429"/>
      <c r="G17" s="429"/>
      <c r="J17" s="75"/>
      <c r="K17" s="428" t="s">
        <v>107</v>
      </c>
      <c r="L17" s="428"/>
      <c r="M17" s="428"/>
      <c r="N17" s="265"/>
      <c r="O17" s="74"/>
      <c r="P17" s="22" t="s">
        <v>23</v>
      </c>
      <c r="R17" s="43" t="s">
        <v>108</v>
      </c>
      <c r="S17" s="15"/>
      <c r="T17" s="28"/>
      <c r="U17" s="30" t="s">
        <v>98</v>
      </c>
      <c r="V17" s="24" t="s">
        <v>23</v>
      </c>
      <c r="W17" s="76"/>
      <c r="X17" s="2"/>
      <c r="Y17" s="77"/>
      <c r="Z17" s="2"/>
      <c r="AA17" s="47"/>
      <c r="AB17" s="45" t="s">
        <v>99</v>
      </c>
      <c r="AC17" s="45"/>
      <c r="AD17" s="12"/>
      <c r="AE17" s="76"/>
      <c r="AF17" s="43"/>
      <c r="AG17" s="46"/>
      <c r="AH17" s="13"/>
      <c r="AI17" s="78">
        <f>AA17</f>
        <v>0</v>
      </c>
      <c r="AJ17" s="45" t="s">
        <v>100</v>
      </c>
      <c r="AK17" s="12"/>
      <c r="AL17" s="2"/>
      <c r="AM17" s="43"/>
      <c r="AN17" s="46"/>
      <c r="AO17" s="13"/>
      <c r="AP17" s="47"/>
      <c r="AQ17" s="45" t="s">
        <v>101</v>
      </c>
      <c r="AR17" s="14"/>
    </row>
    <row r="18" spans="1:44" ht="15.75" customHeight="1">
      <c r="A18" s="25"/>
      <c r="B18" s="428" t="s">
        <v>829</v>
      </c>
      <c r="C18" s="428"/>
      <c r="D18" s="428"/>
      <c r="E18" s="333"/>
      <c r="F18" s="90"/>
      <c r="G18" s="2" t="s">
        <v>116</v>
      </c>
      <c r="I18" s="22" t="s">
        <v>117</v>
      </c>
      <c r="J18" s="75"/>
      <c r="K18" s="428" t="s">
        <v>111</v>
      </c>
      <c r="L18" s="428"/>
      <c r="M18" s="428"/>
      <c r="N18" s="265"/>
      <c r="O18" s="74"/>
      <c r="P18" s="22" t="s">
        <v>23</v>
      </c>
      <c r="R18" s="43" t="s">
        <v>112</v>
      </c>
      <c r="S18" s="15"/>
      <c r="T18" s="28"/>
      <c r="U18" s="30" t="s">
        <v>805</v>
      </c>
      <c r="V18" s="24" t="s">
        <v>795</v>
      </c>
      <c r="W18" s="76"/>
      <c r="X18" s="2"/>
      <c r="Y18" s="77"/>
      <c r="Z18" s="2"/>
      <c r="AA18" s="372"/>
      <c r="AB18" s="45" t="s">
        <v>807</v>
      </c>
      <c r="AC18" s="45"/>
      <c r="AD18" s="12"/>
      <c r="AE18" s="76"/>
      <c r="AF18" s="43"/>
      <c r="AG18" s="46"/>
      <c r="AH18" s="13"/>
      <c r="AI18" s="372"/>
      <c r="AJ18" s="45" t="s">
        <v>810</v>
      </c>
      <c r="AK18" s="12"/>
      <c r="AL18" s="2"/>
      <c r="AM18" s="43"/>
      <c r="AN18" s="46"/>
      <c r="AO18" s="13"/>
      <c r="AP18" s="372"/>
      <c r="AQ18" s="45" t="s">
        <v>813</v>
      </c>
      <c r="AR18" s="14"/>
    </row>
    <row r="19" spans="1:44" ht="15.75" customHeight="1">
      <c r="A19" s="25"/>
      <c r="B19" s="428" t="s">
        <v>104</v>
      </c>
      <c r="C19" s="428"/>
      <c r="D19" s="428"/>
      <c r="E19" s="86">
        <f>'General Information'!L21</f>
        <v>0</v>
      </c>
      <c r="F19" s="87"/>
      <c r="G19" s="2" t="s">
        <v>105</v>
      </c>
      <c r="I19" s="22" t="s">
        <v>106</v>
      </c>
      <c r="J19" s="75"/>
      <c r="K19" s="428" t="s">
        <v>118</v>
      </c>
      <c r="L19" s="428"/>
      <c r="M19" s="428"/>
      <c r="N19" s="265"/>
      <c r="O19" s="74"/>
      <c r="P19" s="22" t="s">
        <v>23</v>
      </c>
      <c r="R19" s="43" t="s">
        <v>119</v>
      </c>
      <c r="S19" s="15"/>
      <c r="T19" s="10"/>
      <c r="U19" s="346" t="s">
        <v>806</v>
      </c>
      <c r="V19" s="24" t="s">
        <v>795</v>
      </c>
      <c r="W19" s="76"/>
      <c r="X19" s="2"/>
      <c r="Y19" s="77"/>
      <c r="Z19" s="2">
        <v>10</v>
      </c>
      <c r="AA19" s="372"/>
      <c r="AB19" s="45" t="s">
        <v>808</v>
      </c>
      <c r="AC19" s="45"/>
      <c r="AD19" s="12"/>
      <c r="AE19" s="76"/>
      <c r="AF19" s="43"/>
      <c r="AG19" s="46"/>
      <c r="AH19" s="13"/>
      <c r="AI19" s="372"/>
      <c r="AJ19" s="45" t="s">
        <v>811</v>
      </c>
      <c r="AK19" s="12"/>
      <c r="AL19" s="2"/>
      <c r="AM19" s="43"/>
      <c r="AN19" s="46"/>
      <c r="AO19" s="13"/>
      <c r="AP19" s="372"/>
      <c r="AQ19" s="45" t="s">
        <v>814</v>
      </c>
      <c r="AR19" s="14"/>
    </row>
    <row r="20" spans="1:44" ht="16.5" customHeight="1" thickBot="1">
      <c r="A20" s="25"/>
      <c r="B20" s="428" t="s">
        <v>109</v>
      </c>
      <c r="C20" s="428"/>
      <c r="D20" s="428"/>
      <c r="E20" s="88">
        <f>'General Information'!L22</f>
        <v>0</v>
      </c>
      <c r="F20" s="87"/>
      <c r="G20" s="2" t="s">
        <v>105</v>
      </c>
      <c r="I20" s="22" t="s">
        <v>110</v>
      </c>
      <c r="J20" s="75"/>
      <c r="K20" s="428" t="s">
        <v>122</v>
      </c>
      <c r="L20" s="428"/>
      <c r="M20" s="428"/>
      <c r="N20" s="264">
        <f>'General Information'!C18</f>
        <v>100</v>
      </c>
      <c r="O20" s="74"/>
      <c r="P20" s="22" t="s">
        <v>32</v>
      </c>
      <c r="R20" s="43" t="s">
        <v>123</v>
      </c>
      <c r="S20" s="15"/>
      <c r="T20" s="10"/>
      <c r="U20" s="345" t="s">
        <v>803</v>
      </c>
      <c r="V20" s="37" t="s">
        <v>804</v>
      </c>
      <c r="W20" s="79"/>
      <c r="X20" s="80"/>
      <c r="Y20" s="81"/>
      <c r="Z20" s="80"/>
      <c r="AA20" s="373"/>
      <c r="AB20" s="85" t="s">
        <v>809</v>
      </c>
      <c r="AC20" s="45"/>
      <c r="AD20" s="82"/>
      <c r="AE20" s="79"/>
      <c r="AF20" s="80"/>
      <c r="AG20" s="83"/>
      <c r="AH20" s="84"/>
      <c r="AI20" s="373"/>
      <c r="AJ20" s="85" t="s">
        <v>812</v>
      </c>
      <c r="AK20" s="82"/>
      <c r="AL20" s="79"/>
      <c r="AM20" s="80"/>
      <c r="AN20" s="83"/>
      <c r="AO20" s="84"/>
      <c r="AP20" s="373"/>
      <c r="AQ20" s="85" t="s">
        <v>815</v>
      </c>
      <c r="AR20" s="14"/>
    </row>
    <row r="21" spans="1:44" ht="13.5" thickBot="1">
      <c r="A21" s="25"/>
      <c r="B21" s="432" t="s">
        <v>797</v>
      </c>
      <c r="C21" s="432"/>
      <c r="D21" s="432"/>
      <c r="F21" s="90"/>
      <c r="I21" s="1"/>
      <c r="J21" s="75"/>
      <c r="K21" s="99" t="s">
        <v>794</v>
      </c>
      <c r="L21" s="43"/>
      <c r="M21" s="43"/>
      <c r="N21" s="265"/>
      <c r="O21" s="43"/>
      <c r="P21" s="43" t="s">
        <v>795</v>
      </c>
      <c r="Q21" s="43"/>
      <c r="R21" s="43" t="s">
        <v>800</v>
      </c>
      <c r="S21" s="15"/>
      <c r="T21" s="1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14"/>
    </row>
    <row r="22" spans="1:44" ht="12.75" customHeight="1">
      <c r="A22" s="25"/>
      <c r="B22" s="344" t="s">
        <v>796</v>
      </c>
      <c r="C22" s="335"/>
      <c r="D22" s="335"/>
      <c r="E22" s="86">
        <f>E20*(1-E18)-(E18*((N20-E15)*4.2+2260))</f>
        <v>0</v>
      </c>
      <c r="F22" s="90"/>
      <c r="G22" s="2" t="s">
        <v>105</v>
      </c>
      <c r="I22" s="22" t="s">
        <v>121</v>
      </c>
      <c r="J22" s="75"/>
      <c r="K22" s="99"/>
      <c r="L22" s="43"/>
      <c r="M22" s="338" t="s">
        <v>798</v>
      </c>
      <c r="N22" s="265"/>
      <c r="O22" s="43"/>
      <c r="P22" s="43" t="s">
        <v>795</v>
      </c>
      <c r="Q22" s="43"/>
      <c r="R22" s="43" t="s">
        <v>801</v>
      </c>
      <c r="S22" s="15"/>
      <c r="T22" s="10"/>
      <c r="U22" s="13"/>
      <c r="V22" s="13"/>
      <c r="W22" s="89" t="s">
        <v>113</v>
      </c>
      <c r="X22" s="13"/>
      <c r="Y22" s="23"/>
      <c r="Z22" s="13"/>
      <c r="AA22" s="89" t="s">
        <v>114</v>
      </c>
      <c r="AB22" s="13"/>
      <c r="AC22" s="13"/>
      <c r="AD22" s="21"/>
      <c r="AE22" s="126" t="s">
        <v>115</v>
      </c>
      <c r="AF22" s="13"/>
      <c r="AG22" s="13"/>
      <c r="AH22" s="13"/>
      <c r="AI22" s="13"/>
      <c r="AJ22" s="13"/>
      <c r="AK22" s="13"/>
      <c r="AL22" s="13"/>
      <c r="AM22" s="13"/>
      <c r="AN22" s="13"/>
      <c r="AO22" s="13"/>
      <c r="AP22" s="13"/>
      <c r="AQ22" s="13"/>
      <c r="AR22" s="14"/>
    </row>
    <row r="23" spans="1:44" ht="14.25" customHeight="1">
      <c r="A23" s="25"/>
      <c r="B23" s="433" t="s">
        <v>747</v>
      </c>
      <c r="C23" s="433"/>
      <c r="D23" s="433"/>
      <c r="E23" s="86">
        <f>'General Information'!L11</f>
        <v>0</v>
      </c>
      <c r="F23" s="2"/>
      <c r="G23" s="2" t="s">
        <v>105</v>
      </c>
      <c r="J23" s="75"/>
      <c r="K23" s="99"/>
      <c r="L23" s="43"/>
      <c r="M23" s="338" t="s">
        <v>799</v>
      </c>
      <c r="N23" s="265"/>
      <c r="O23" s="43"/>
      <c r="P23" s="43" t="s">
        <v>804</v>
      </c>
      <c r="Q23" s="43"/>
      <c r="R23" s="43" t="s">
        <v>802</v>
      </c>
      <c r="S23" s="15"/>
      <c r="T23" s="10"/>
      <c r="U23" s="91" t="s">
        <v>120</v>
      </c>
      <c r="V23" s="92" t="s">
        <v>11</v>
      </c>
      <c r="W23" s="92" t="s">
        <v>12</v>
      </c>
      <c r="X23" s="92" t="s">
        <v>13</v>
      </c>
      <c r="Y23" s="46"/>
      <c r="Z23" s="13"/>
      <c r="AA23" s="92" t="s">
        <v>12</v>
      </c>
      <c r="AB23" s="92" t="s">
        <v>13</v>
      </c>
      <c r="AC23" s="92"/>
      <c r="AD23" s="21"/>
      <c r="AE23" s="93" t="s">
        <v>120</v>
      </c>
      <c r="AF23" s="13"/>
      <c r="AG23" s="13"/>
      <c r="AH23" s="13"/>
      <c r="AI23" s="13"/>
      <c r="AJ23" s="13"/>
      <c r="AK23" s="13"/>
      <c r="AL23" s="13"/>
      <c r="AM23" s="92" t="s">
        <v>11</v>
      </c>
      <c r="AN23" s="13"/>
      <c r="AO23" s="13"/>
      <c r="AP23" s="92" t="s">
        <v>12</v>
      </c>
      <c r="AQ23" s="92" t="s">
        <v>13</v>
      </c>
      <c r="AR23" s="14"/>
    </row>
    <row r="24" spans="1:44" ht="15.75" customHeight="1">
      <c r="A24" s="25"/>
      <c r="D24" s="100"/>
      <c r="E24" s="101"/>
      <c r="F24" s="2"/>
      <c r="G24" s="2"/>
      <c r="K24" s="99"/>
      <c r="L24" s="43"/>
      <c r="M24" s="43"/>
      <c r="N24" s="43"/>
      <c r="O24" s="43"/>
      <c r="P24" s="43"/>
      <c r="Q24" s="43"/>
      <c r="R24" s="43"/>
      <c r="S24" s="15"/>
      <c r="T24" s="10"/>
      <c r="U24" s="94" t="s">
        <v>124</v>
      </c>
      <c r="V24" s="95" t="s">
        <v>23</v>
      </c>
      <c r="W24" s="96">
        <f>W7-AA7</f>
        <v>0</v>
      </c>
      <c r="X24" s="56" t="s">
        <v>125</v>
      </c>
      <c r="Y24" s="57"/>
      <c r="Z24" s="61"/>
      <c r="AA24" s="96">
        <f>AE7-AI7</f>
        <v>0</v>
      </c>
      <c r="AB24" s="56" t="s">
        <v>126</v>
      </c>
      <c r="AC24" s="56"/>
      <c r="AD24" s="21"/>
      <c r="AE24" s="98" t="s">
        <v>127</v>
      </c>
      <c r="AF24" s="61"/>
      <c r="AG24" s="61"/>
      <c r="AH24" s="61"/>
      <c r="AI24" s="61"/>
      <c r="AJ24" s="61"/>
      <c r="AK24" s="61"/>
      <c r="AL24" s="61"/>
      <c r="AM24" s="95" t="s">
        <v>23</v>
      </c>
      <c r="AN24" s="61"/>
      <c r="AO24" s="61"/>
      <c r="AP24" s="96">
        <f>AL7-AP7</f>
        <v>0</v>
      </c>
      <c r="AQ24" s="56" t="s">
        <v>128</v>
      </c>
      <c r="AR24" s="14"/>
    </row>
    <row r="25" spans="1:44" ht="15.75" customHeight="1">
      <c r="A25" s="25"/>
      <c r="B25" s="102" t="s">
        <v>749</v>
      </c>
      <c r="C25" s="103"/>
      <c r="D25" s="104"/>
      <c r="E25" s="430"/>
      <c r="F25" s="430"/>
      <c r="G25" s="430"/>
      <c r="H25" s="430"/>
      <c r="I25" s="430"/>
      <c r="J25" s="430"/>
      <c r="K25" s="430"/>
      <c r="L25" s="430"/>
      <c r="M25" s="430"/>
      <c r="N25" s="430"/>
      <c r="O25" s="430"/>
      <c r="P25" s="430"/>
      <c r="Q25" s="430"/>
      <c r="R25" s="431"/>
      <c r="S25" s="15"/>
      <c r="T25" s="10"/>
      <c r="U25" s="94" t="s">
        <v>129</v>
      </c>
      <c r="V25" s="95" t="s">
        <v>23</v>
      </c>
      <c r="W25" s="96">
        <f>IF(AA17=0,0,AA17-$N$19)</f>
        <v>0</v>
      </c>
      <c r="X25" s="56" t="s">
        <v>130</v>
      </c>
      <c r="Y25" s="57"/>
      <c r="Z25" s="61"/>
      <c r="AA25" s="96">
        <f>IF(AI17=0,0,AI17-$N$19)</f>
        <v>0</v>
      </c>
      <c r="AB25" s="56" t="s">
        <v>131</v>
      </c>
      <c r="AC25" s="56"/>
      <c r="AD25" s="97"/>
      <c r="AE25" s="98" t="s">
        <v>132</v>
      </c>
      <c r="AF25" s="61"/>
      <c r="AG25" s="61"/>
      <c r="AH25" s="61"/>
      <c r="AI25" s="61"/>
      <c r="AJ25" s="61"/>
      <c r="AK25" s="61"/>
      <c r="AL25" s="61"/>
      <c r="AM25" s="95" t="s">
        <v>23</v>
      </c>
      <c r="AN25" s="61"/>
      <c r="AO25" s="61"/>
      <c r="AP25" s="96">
        <f>IF(AP17=0,0,(AP17-$N$19)-W25)</f>
        <v>0</v>
      </c>
      <c r="AQ25" s="56" t="s">
        <v>133</v>
      </c>
      <c r="AR25" s="14"/>
    </row>
    <row r="26" spans="1:44" ht="15.75" customHeight="1">
      <c r="A26" s="25"/>
      <c r="B26" s="403"/>
      <c r="C26" s="404"/>
      <c r="D26" s="404"/>
      <c r="E26" s="404"/>
      <c r="F26" s="404"/>
      <c r="G26" s="404"/>
      <c r="H26" s="404"/>
      <c r="I26" s="404"/>
      <c r="J26" s="404"/>
      <c r="K26" s="404"/>
      <c r="L26" s="404"/>
      <c r="M26" s="404"/>
      <c r="N26" s="404"/>
      <c r="O26" s="404"/>
      <c r="P26" s="404"/>
      <c r="Q26" s="404"/>
      <c r="R26" s="405"/>
      <c r="S26" s="15"/>
      <c r="T26" s="10"/>
      <c r="U26" s="94" t="s">
        <v>134</v>
      </c>
      <c r="V26" s="95" t="s">
        <v>23</v>
      </c>
      <c r="W26" s="96" t="e">
        <f>(W24*($E$20*(1-$E$18)-$E$18*(4.186*($N$20-$E$15)+2257))-W25*$E23)/$E$20</f>
        <v>#DIV/0!</v>
      </c>
      <c r="X26" s="56" t="s">
        <v>135</v>
      </c>
      <c r="Y26" s="57"/>
      <c r="Z26" s="61"/>
      <c r="AA26" s="382" t="e">
        <f>(AA24*($E$20*(1-$E$18)-$E$18*(4.186*($N$20-$E$15)+2257))-AA25*$E23)/$E$20</f>
        <v>#DIV/0!</v>
      </c>
      <c r="AB26" s="56" t="s">
        <v>136</v>
      </c>
      <c r="AC26" s="56"/>
      <c r="AD26" s="97"/>
      <c r="AE26" s="98" t="s">
        <v>134</v>
      </c>
      <c r="AF26" s="61"/>
      <c r="AG26" s="61"/>
      <c r="AH26" s="61"/>
      <c r="AI26" s="61"/>
      <c r="AJ26" s="61"/>
      <c r="AK26" s="61"/>
      <c r="AL26" s="61"/>
      <c r="AM26" s="95" t="s">
        <v>23</v>
      </c>
      <c r="AN26" s="61"/>
      <c r="AO26" s="61"/>
      <c r="AP26" s="382" t="e">
        <f>(AP24*($E$20*(1-$E$18)-$E$18*(4.186*($N$20-$E$15)+2257))-AP25*$E23)/$E$20</f>
        <v>#DIV/0!</v>
      </c>
      <c r="AQ26" s="56" t="s">
        <v>137</v>
      </c>
      <c r="AR26" s="14"/>
    </row>
    <row r="27" spans="1:44" ht="15.75" customHeight="1">
      <c r="A27" s="25"/>
      <c r="B27" s="403"/>
      <c r="C27" s="404"/>
      <c r="D27" s="404"/>
      <c r="E27" s="404"/>
      <c r="F27" s="404"/>
      <c r="G27" s="404"/>
      <c r="H27" s="404"/>
      <c r="I27" s="404"/>
      <c r="J27" s="404"/>
      <c r="K27" s="404"/>
      <c r="L27" s="404"/>
      <c r="M27" s="404"/>
      <c r="N27" s="404"/>
      <c r="O27" s="404"/>
      <c r="P27" s="404"/>
      <c r="Q27" s="404"/>
      <c r="R27" s="405"/>
      <c r="S27" s="15"/>
      <c r="T27" s="10"/>
      <c r="U27" s="94" t="s">
        <v>138</v>
      </c>
      <c r="V27" s="95" t="s">
        <v>23</v>
      </c>
      <c r="W27" s="96">
        <f>SUM(W12:W15)-SUM(AA12:AA15)</f>
        <v>0</v>
      </c>
      <c r="X27" s="56" t="s">
        <v>139</v>
      </c>
      <c r="Y27" s="57"/>
      <c r="Z27" s="61"/>
      <c r="AA27" s="96">
        <f>SUM(AE12:AE15)-SUM(AI12:AI15)</f>
        <v>0</v>
      </c>
      <c r="AB27" s="56" t="s">
        <v>140</v>
      </c>
      <c r="AC27" s="56"/>
      <c r="AD27" s="97"/>
      <c r="AE27" s="98" t="s">
        <v>141</v>
      </c>
      <c r="AF27" s="61"/>
      <c r="AG27" s="61"/>
      <c r="AH27" s="61"/>
      <c r="AI27" s="61"/>
      <c r="AJ27" s="61"/>
      <c r="AK27" s="61"/>
      <c r="AL27" s="61"/>
      <c r="AM27" s="95" t="s">
        <v>23</v>
      </c>
      <c r="AN27" s="61"/>
      <c r="AO27" s="61"/>
      <c r="AP27" s="96">
        <f>(AL12-AP12)+(AL13-AP13)+(AL14-AP14)+(AL15-AP15)</f>
        <v>0</v>
      </c>
      <c r="AQ27" s="56" t="s">
        <v>142</v>
      </c>
      <c r="AR27" s="14"/>
    </row>
    <row r="28" spans="1:44" ht="15.75" customHeight="1">
      <c r="A28" s="25"/>
      <c r="B28" s="105"/>
      <c r="C28" s="106"/>
      <c r="D28" s="106"/>
      <c r="E28" s="106"/>
      <c r="F28" s="106"/>
      <c r="G28" s="106"/>
      <c r="H28" s="106"/>
      <c r="I28" s="106"/>
      <c r="J28" s="106"/>
      <c r="K28" s="106"/>
      <c r="L28" s="106"/>
      <c r="M28" s="106"/>
      <c r="N28" s="106"/>
      <c r="O28" s="106"/>
      <c r="P28" s="106"/>
      <c r="Q28" s="106"/>
      <c r="R28" s="107"/>
      <c r="S28" s="15"/>
      <c r="T28" s="10"/>
      <c r="U28" s="94" t="s">
        <v>143</v>
      </c>
      <c r="V28" s="95" t="s">
        <v>23</v>
      </c>
      <c r="W28" s="96">
        <f>((AA12-$N15)*(AA8-W8)/($N$20-W8)+(AA13-$N16)*(AA9-W9)/($N$20-W9)+(AA14-$N17)*(AA10-W10)/($N$20-W10)+(AA15-$N18)*(AA11-W11)/($N$20-W11))</f>
        <v>0</v>
      </c>
      <c r="X28" s="56" t="s">
        <v>144</v>
      </c>
      <c r="Y28" s="57"/>
      <c r="Z28" s="61"/>
      <c r="AA28" s="96">
        <f>((AI12-$N15)*(AI8-AE8)/($N$20-AE8)+(AI13-$N16)*(AI9-AE9)/($N$20-AE9)+(AI14-$N17)*(AI10-AE10)/($N$20-AE10)+(AI15-$N18)*(AI11-AE11)/($N$20-AE11))</f>
        <v>0</v>
      </c>
      <c r="AB28" s="56" t="s">
        <v>145</v>
      </c>
      <c r="AC28" s="56"/>
      <c r="AD28" s="97"/>
      <c r="AE28" s="98" t="s">
        <v>146</v>
      </c>
      <c r="AF28" s="61"/>
      <c r="AG28" s="61"/>
      <c r="AH28" s="61"/>
      <c r="AI28" s="61"/>
      <c r="AJ28" s="61"/>
      <c r="AK28" s="61"/>
      <c r="AL28" s="61"/>
      <c r="AM28" s="95" t="s">
        <v>23</v>
      </c>
      <c r="AN28" s="61"/>
      <c r="AO28" s="61"/>
      <c r="AP28" s="96">
        <f>(AP12-$N$15+((AP9-25)/(N20-25))*(AP13-N16)+((AP10-25)/(N20-25))*(AP14-N17)+((AP11-25)/(N20-25))*(AP15-N18))</f>
        <v>0</v>
      </c>
      <c r="AQ28" s="56" t="s">
        <v>147</v>
      </c>
      <c r="AR28" s="14"/>
    </row>
    <row r="29" spans="1:44" ht="15.75" customHeight="1">
      <c r="A29" s="25"/>
      <c r="B29" s="403"/>
      <c r="C29" s="404"/>
      <c r="D29" s="404"/>
      <c r="E29" s="404"/>
      <c r="F29" s="404"/>
      <c r="G29" s="404"/>
      <c r="H29" s="404"/>
      <c r="I29" s="404"/>
      <c r="J29" s="404"/>
      <c r="K29" s="404"/>
      <c r="L29" s="404"/>
      <c r="M29" s="404"/>
      <c r="N29" s="404"/>
      <c r="O29" s="404"/>
      <c r="P29" s="404"/>
      <c r="Q29" s="404"/>
      <c r="R29" s="405"/>
      <c r="S29" s="15"/>
      <c r="T29" s="10"/>
      <c r="U29" s="94" t="s">
        <v>148</v>
      </c>
      <c r="V29" s="95" t="s">
        <v>149</v>
      </c>
      <c r="W29" s="96">
        <f>(AA6-W6)*1440</f>
        <v>0</v>
      </c>
      <c r="X29" s="56" t="s">
        <v>150</v>
      </c>
      <c r="Y29" s="57"/>
      <c r="Z29" s="61"/>
      <c r="AA29" s="96">
        <f>(AI6-AE6)*1440</f>
        <v>0</v>
      </c>
      <c r="AB29" s="56" t="s">
        <v>151</v>
      </c>
      <c r="AC29" s="56"/>
      <c r="AD29" s="97"/>
      <c r="AE29" s="98" t="s">
        <v>152</v>
      </c>
      <c r="AF29" s="61"/>
      <c r="AG29" s="61"/>
      <c r="AH29" s="61"/>
      <c r="AI29" s="61"/>
      <c r="AJ29" s="61"/>
      <c r="AK29" s="61"/>
      <c r="AL29" s="61"/>
      <c r="AM29" s="95" t="s">
        <v>149</v>
      </c>
      <c r="AN29" s="61"/>
      <c r="AO29" s="61"/>
      <c r="AP29" s="96">
        <f>(AP6-AL6)*1440</f>
        <v>0</v>
      </c>
      <c r="AQ29" s="56" t="s">
        <v>153</v>
      </c>
      <c r="AR29" s="14"/>
    </row>
    <row r="30" spans="1:44" ht="15.75" customHeight="1">
      <c r="A30" s="25"/>
      <c r="B30" s="403"/>
      <c r="C30" s="404"/>
      <c r="D30" s="404"/>
      <c r="E30" s="404"/>
      <c r="F30" s="404"/>
      <c r="G30" s="404"/>
      <c r="H30" s="404"/>
      <c r="I30" s="404"/>
      <c r="J30" s="404"/>
      <c r="K30" s="404"/>
      <c r="L30" s="404"/>
      <c r="M30" s="404"/>
      <c r="N30" s="404"/>
      <c r="O30" s="404"/>
      <c r="P30" s="404"/>
      <c r="Q30" s="404"/>
      <c r="R30" s="405"/>
      <c r="S30" s="15"/>
      <c r="T30" s="10"/>
      <c r="U30" s="94" t="s">
        <v>154</v>
      </c>
      <c r="V30" s="95" t="s">
        <v>149</v>
      </c>
      <c r="W30" s="96">
        <f>IF(N20=0,0,W29*75/(N20-W8))</f>
        <v>0</v>
      </c>
      <c r="X30" s="56" t="s">
        <v>155</v>
      </c>
      <c r="Y30" s="57"/>
      <c r="Z30" s="61"/>
      <c r="AA30" s="96">
        <f>IF(N20=0,0,AA29*75/(N20-AE8))</f>
        <v>0</v>
      </c>
      <c r="AB30" s="56" t="s">
        <v>156</v>
      </c>
      <c r="AC30" s="56"/>
      <c r="AD30" s="97"/>
      <c r="AE30" s="98" t="s">
        <v>157</v>
      </c>
      <c r="AF30" s="61"/>
      <c r="AG30" s="61"/>
      <c r="AH30" s="61"/>
      <c r="AI30" s="61"/>
      <c r="AJ30" s="61"/>
      <c r="AK30" s="61"/>
      <c r="AL30" s="61"/>
      <c r="AM30" s="95" t="s">
        <v>116</v>
      </c>
      <c r="AN30" s="61"/>
      <c r="AO30" s="61"/>
      <c r="AP30" s="108" t="e">
        <f>IF(AP26=0,0,(4.186*((AL12-$N15+AP28)/2)*(AP8-AL8)+2260*AP27)/(AP26*$E$20))</f>
        <v>#DIV/0!</v>
      </c>
      <c r="AQ30" s="56" t="s">
        <v>158</v>
      </c>
      <c r="AR30" s="14"/>
    </row>
    <row r="31" spans="1:44" ht="15.75" customHeight="1">
      <c r="A31" s="25"/>
      <c r="B31" s="403"/>
      <c r="C31" s="404"/>
      <c r="D31" s="404"/>
      <c r="E31" s="404"/>
      <c r="F31" s="404"/>
      <c r="G31" s="404"/>
      <c r="H31" s="404"/>
      <c r="I31" s="404"/>
      <c r="J31" s="404"/>
      <c r="K31" s="404"/>
      <c r="L31" s="404"/>
      <c r="M31" s="404"/>
      <c r="N31" s="404"/>
      <c r="O31" s="404"/>
      <c r="P31" s="404"/>
      <c r="Q31" s="404"/>
      <c r="R31" s="405"/>
      <c r="S31" s="15"/>
      <c r="T31" s="10"/>
      <c r="U31" s="94" t="s">
        <v>157</v>
      </c>
      <c r="V31" s="95" t="s">
        <v>116</v>
      </c>
      <c r="W31" s="108" t="e">
        <f>IF(W26=0,0,(4.186*SUM((W12-$N15)*(AA8-W8),(W13-$N16)*(AA9-W9),(W14-$N17)*(AA10-W10),(W15-$N18)*(AA11-W11))+2260*W27)/(W26*$E20))</f>
        <v>#DIV/0!</v>
      </c>
      <c r="X31" s="56" t="s">
        <v>159</v>
      </c>
      <c r="Y31" s="57"/>
      <c r="Z31" s="61"/>
      <c r="AA31" s="108" t="e">
        <f>IF(AA26=0,0,(4.186*SUM((AE12-$N15)*(AI8-AE8),(AE13-$N16)*(AI9-AE9),(AE14-$N17)*(AI10-AE10),(AE15-$N18)*(AI11-AE11))+2260*AA27)/(AA26*$E20))</f>
        <v>#DIV/0!</v>
      </c>
      <c r="AB31" s="56" t="s">
        <v>160</v>
      </c>
      <c r="AC31" s="56"/>
      <c r="AD31" s="97"/>
      <c r="AE31" s="98" t="s">
        <v>161</v>
      </c>
      <c r="AF31" s="61"/>
      <c r="AG31" s="61"/>
      <c r="AH31" s="61"/>
      <c r="AI31" s="61"/>
      <c r="AJ31" s="61"/>
      <c r="AK31" s="61"/>
      <c r="AL31" s="61"/>
      <c r="AM31" s="95" t="s">
        <v>162</v>
      </c>
      <c r="AN31" s="61"/>
      <c r="AO31" s="61"/>
      <c r="AP31" s="96">
        <f>IF(AP29=0,0,AP26/AP29)</f>
        <v>0</v>
      </c>
      <c r="AQ31" s="56" t="s">
        <v>163</v>
      </c>
      <c r="AR31" s="14"/>
    </row>
    <row r="32" spans="1:44" ht="15.75" customHeight="1">
      <c r="A32" s="25"/>
      <c r="B32" s="403"/>
      <c r="C32" s="404"/>
      <c r="D32" s="404"/>
      <c r="E32" s="404"/>
      <c r="F32" s="404"/>
      <c r="G32" s="404"/>
      <c r="H32" s="404"/>
      <c r="I32" s="404"/>
      <c r="J32" s="404"/>
      <c r="K32" s="404"/>
      <c r="L32" s="404"/>
      <c r="M32" s="404"/>
      <c r="N32" s="404"/>
      <c r="O32" s="404"/>
      <c r="P32" s="404"/>
      <c r="Q32" s="404"/>
      <c r="R32" s="405"/>
      <c r="S32" s="15"/>
      <c r="T32" s="10"/>
      <c r="U32" s="94" t="s">
        <v>161</v>
      </c>
      <c r="V32" s="95" t="s">
        <v>162</v>
      </c>
      <c r="W32" s="96">
        <f>IF(W29=0,0,W26/W29)</f>
        <v>0</v>
      </c>
      <c r="X32" s="95" t="s">
        <v>164</v>
      </c>
      <c r="Y32" s="57"/>
      <c r="Z32" s="61"/>
      <c r="AA32" s="96">
        <f>IF(AA29=0,0,AA26/AA29)</f>
        <v>0</v>
      </c>
      <c r="AB32" s="56" t="s">
        <v>165</v>
      </c>
      <c r="AC32" s="56"/>
      <c r="AD32" s="97"/>
      <c r="AE32" s="98" t="s">
        <v>166</v>
      </c>
      <c r="AF32" s="61"/>
      <c r="AG32" s="61"/>
      <c r="AH32" s="61"/>
      <c r="AI32" s="61"/>
      <c r="AJ32" s="61"/>
      <c r="AK32" s="61"/>
      <c r="AL32" s="61"/>
      <c r="AM32" s="95" t="s">
        <v>167</v>
      </c>
      <c r="AN32" s="61"/>
      <c r="AO32" s="61"/>
      <c r="AP32" s="96">
        <f>IF(AP28=0,0,AP26/AP28*1000)</f>
        <v>0</v>
      </c>
      <c r="AQ32" s="56" t="s">
        <v>168</v>
      </c>
      <c r="AR32" s="14"/>
    </row>
    <row r="33" spans="1:44" ht="15.75" customHeight="1">
      <c r="A33" s="25"/>
      <c r="B33" s="105"/>
      <c r="C33" s="106"/>
      <c r="D33" s="106"/>
      <c r="E33" s="106"/>
      <c r="F33" s="106"/>
      <c r="G33" s="106"/>
      <c r="H33" s="106"/>
      <c r="I33" s="106"/>
      <c r="J33" s="106"/>
      <c r="K33" s="106"/>
      <c r="L33" s="106"/>
      <c r="M33" s="106"/>
      <c r="N33" s="106"/>
      <c r="O33" s="106"/>
      <c r="P33" s="106"/>
      <c r="Q33" s="106"/>
      <c r="R33" s="107"/>
      <c r="S33" s="15"/>
      <c r="T33" s="10"/>
      <c r="U33" s="94" t="s">
        <v>166</v>
      </c>
      <c r="V33" s="95" t="s">
        <v>167</v>
      </c>
      <c r="W33" s="96">
        <f>IF(W28=0,0,1000*W26/(SUM(W28:W28)))</f>
        <v>0</v>
      </c>
      <c r="X33" s="56" t="s">
        <v>169</v>
      </c>
      <c r="Y33" s="57"/>
      <c r="Z33" s="61"/>
      <c r="AA33" s="96">
        <f>IF(AA28=0,0,1000*AA26/(SUM(AA28:AA28)))</f>
        <v>0</v>
      </c>
      <c r="AB33" s="56" t="s">
        <v>170</v>
      </c>
      <c r="AC33" s="56"/>
      <c r="AD33" s="97"/>
      <c r="AE33" s="98" t="s">
        <v>171</v>
      </c>
      <c r="AF33" s="61"/>
      <c r="AG33" s="61"/>
      <c r="AH33" s="61"/>
      <c r="AI33" s="61"/>
      <c r="AJ33" s="61"/>
      <c r="AK33" s="61"/>
      <c r="AL33" s="61"/>
      <c r="AM33" s="95" t="s">
        <v>172</v>
      </c>
      <c r="AN33" s="61"/>
      <c r="AO33" s="61"/>
      <c r="AP33" s="96">
        <f>IF(AP29=0,0,AP26*$E$20/(AP29*60))</f>
        <v>0</v>
      </c>
      <c r="AQ33" s="56" t="s">
        <v>173</v>
      </c>
      <c r="AR33" s="14"/>
    </row>
    <row r="34" spans="1:44" ht="15.75" customHeight="1">
      <c r="A34" s="25"/>
      <c r="B34" s="403"/>
      <c r="C34" s="404"/>
      <c r="D34" s="404"/>
      <c r="E34" s="404"/>
      <c r="F34" s="404"/>
      <c r="G34" s="404"/>
      <c r="H34" s="404"/>
      <c r="I34" s="404"/>
      <c r="J34" s="404"/>
      <c r="K34" s="404"/>
      <c r="L34" s="404"/>
      <c r="M34" s="404"/>
      <c r="N34" s="404"/>
      <c r="O34" s="404"/>
      <c r="P34" s="404"/>
      <c r="Q34" s="404"/>
      <c r="R34" s="405"/>
      <c r="S34" s="15"/>
      <c r="T34" s="10"/>
      <c r="U34" s="94" t="s">
        <v>174</v>
      </c>
      <c r="V34" s="95" t="s">
        <v>167</v>
      </c>
      <c r="W34" s="96">
        <f>IF(W28=0,0,W33*75/($N$20-W8))</f>
        <v>0</v>
      </c>
      <c r="X34" s="56" t="s">
        <v>175</v>
      </c>
      <c r="Y34" s="57"/>
      <c r="Z34" s="61"/>
      <c r="AA34" s="96">
        <f>IF(AA28=0,0,AA33*75/($N$20-AE8))</f>
        <v>0</v>
      </c>
      <c r="AB34" s="56" t="s">
        <v>176</v>
      </c>
      <c r="AC34" s="56"/>
      <c r="AD34" s="97"/>
      <c r="AE34" s="98" t="s">
        <v>177</v>
      </c>
      <c r="AF34" s="61"/>
      <c r="AG34" s="61"/>
      <c r="AH34" s="61"/>
      <c r="AI34" s="61"/>
      <c r="AJ34" s="61"/>
      <c r="AK34" s="61"/>
      <c r="AL34" s="61"/>
      <c r="AM34" s="95" t="s">
        <v>95</v>
      </c>
      <c r="AN34" s="61"/>
      <c r="AO34" s="61"/>
      <c r="AP34" s="109">
        <f>IF(AP33=0,0,W36/AP33)</f>
        <v>0</v>
      </c>
      <c r="AQ34" s="95" t="s">
        <v>178</v>
      </c>
      <c r="AR34" s="14"/>
    </row>
    <row r="35" spans="1:44" ht="15.75" customHeight="1" thickBot="1">
      <c r="A35" s="25"/>
      <c r="B35" s="400"/>
      <c r="C35" s="401"/>
      <c r="D35" s="401"/>
      <c r="E35" s="401"/>
      <c r="F35" s="401"/>
      <c r="G35" s="401"/>
      <c r="H35" s="401"/>
      <c r="I35" s="401"/>
      <c r="J35" s="401"/>
      <c r="K35" s="401"/>
      <c r="L35" s="401"/>
      <c r="M35" s="401"/>
      <c r="N35" s="401"/>
      <c r="O35" s="401"/>
      <c r="P35" s="401"/>
      <c r="Q35" s="401"/>
      <c r="R35" s="402"/>
      <c r="S35" s="15"/>
      <c r="T35" s="10"/>
      <c r="U35" s="94" t="s">
        <v>179</v>
      </c>
      <c r="V35" s="95" t="s">
        <v>180</v>
      </c>
      <c r="W35" s="96">
        <f>(W34/1000)*E20</f>
        <v>0</v>
      </c>
      <c r="X35" s="56" t="s">
        <v>181</v>
      </c>
      <c r="Y35" s="57"/>
      <c r="Z35" s="61"/>
      <c r="AA35" s="96">
        <f>(AA34/1000)*E20</f>
        <v>0</v>
      </c>
      <c r="AB35" s="56" t="s">
        <v>182</v>
      </c>
      <c r="AC35" s="56"/>
      <c r="AD35" s="97"/>
      <c r="AE35" s="110" t="s">
        <v>183</v>
      </c>
      <c r="AF35" s="111"/>
      <c r="AG35" s="111"/>
      <c r="AH35" s="111"/>
      <c r="AI35" s="111"/>
      <c r="AJ35" s="111"/>
      <c r="AK35" s="111"/>
      <c r="AL35" s="111"/>
      <c r="AM35" s="112" t="s">
        <v>180</v>
      </c>
      <c r="AN35" s="111"/>
      <c r="AO35" s="111"/>
      <c r="AP35" s="113">
        <f>(AP33/1000)*E20</f>
        <v>0</v>
      </c>
      <c r="AQ35" s="114" t="s">
        <v>184</v>
      </c>
      <c r="AR35" s="115"/>
    </row>
    <row r="36" spans="1:44" ht="15.75" customHeight="1" thickBot="1">
      <c r="A36" s="25"/>
      <c r="B36" s="118" t="s">
        <v>192</v>
      </c>
      <c r="C36" s="118"/>
      <c r="D36" s="118"/>
      <c r="E36" s="118"/>
      <c r="F36" s="118"/>
      <c r="G36" s="118"/>
      <c r="H36" s="118"/>
      <c r="I36" s="118"/>
      <c r="J36" s="118"/>
      <c r="K36" s="118"/>
      <c r="L36" s="118"/>
      <c r="M36" s="118"/>
      <c r="N36" s="118"/>
      <c r="O36" s="119"/>
      <c r="P36" s="119"/>
      <c r="Q36" s="119"/>
      <c r="R36" s="119"/>
      <c r="S36" s="15"/>
      <c r="T36" s="10"/>
      <c r="U36" s="2" t="s">
        <v>171</v>
      </c>
      <c r="V36" s="22" t="s">
        <v>172</v>
      </c>
      <c r="W36" s="100">
        <f>IF(W29=0,0,W26*$E$20/(W29*60))</f>
        <v>0</v>
      </c>
      <c r="X36" s="43" t="s">
        <v>185</v>
      </c>
      <c r="Y36" s="348"/>
      <c r="Z36" s="13"/>
      <c r="AA36" s="100">
        <f>IF(AA29=0,0,AA26*$E$20/(AA29*60))</f>
        <v>0</v>
      </c>
      <c r="AB36" s="43" t="s">
        <v>186</v>
      </c>
      <c r="AC36" s="43"/>
      <c r="AD36" s="97"/>
      <c r="AE36" s="3" t="s">
        <v>187</v>
      </c>
      <c r="AM36" s="3" t="s">
        <v>23</v>
      </c>
      <c r="AP36" s="347">
        <f>IF(AA34=0,5*(W34+AP32),5*(AVERAGE(W34,AA34)+AP32))</f>
        <v>0</v>
      </c>
      <c r="AQ36" s="116" t="s">
        <v>188</v>
      </c>
      <c r="AR36" s="14"/>
    </row>
    <row r="37" spans="1:44" ht="13.5" customHeight="1" thickBot="1" thickTop="1">
      <c r="A37" s="117"/>
      <c r="B37" s="343"/>
      <c r="C37" s="343"/>
      <c r="D37" s="343"/>
      <c r="E37" s="343"/>
      <c r="F37" s="343"/>
      <c r="G37" s="343"/>
      <c r="H37" s="343"/>
      <c r="I37" s="343"/>
      <c r="J37" s="343"/>
      <c r="K37" s="343"/>
      <c r="L37" s="343"/>
      <c r="M37" s="343"/>
      <c r="N37" s="343"/>
      <c r="O37" s="343"/>
      <c r="P37" s="343"/>
      <c r="Q37" s="343"/>
      <c r="R37" s="343"/>
      <c r="S37" s="120"/>
      <c r="T37" s="121"/>
      <c r="U37" s="122"/>
      <c r="V37" s="122"/>
      <c r="W37" s="122"/>
      <c r="X37" s="122"/>
      <c r="Y37" s="349"/>
      <c r="Z37" s="122"/>
      <c r="AA37" s="122"/>
      <c r="AB37" s="122"/>
      <c r="AC37" s="122"/>
      <c r="AD37" s="350"/>
      <c r="AE37" s="122" t="s">
        <v>189</v>
      </c>
      <c r="AF37" s="122"/>
      <c r="AG37" s="122"/>
      <c r="AH37" s="122"/>
      <c r="AI37" s="122"/>
      <c r="AJ37" s="122"/>
      <c r="AK37" s="122"/>
      <c r="AL37" s="122"/>
      <c r="AM37" s="122" t="s">
        <v>190</v>
      </c>
      <c r="AN37" s="122"/>
      <c r="AO37" s="122"/>
      <c r="AP37" s="351">
        <f>(AP36/1000)*E20</f>
        <v>0</v>
      </c>
      <c r="AQ37" s="123" t="s">
        <v>191</v>
      </c>
      <c r="AR37" s="124"/>
    </row>
    <row r="38" spans="2:44" ht="14.25" customHeight="1" thickBot="1" thickTop="1">
      <c r="B38" s="126" t="str">
        <f>"TEST #1 "&amp;D7</f>
        <v>TEST #1 </v>
      </c>
      <c r="S38" s="2"/>
      <c r="U38" s="126" t="str">
        <f>"TEST #1 "&amp;D7</f>
        <v>TEST #1 </v>
      </c>
      <c r="V38" s="89" t="s">
        <v>818</v>
      </c>
      <c r="W38" s="13"/>
      <c r="X38" s="22"/>
      <c r="Y38" s="22"/>
      <c r="Z38" s="22"/>
      <c r="AA38" s="100"/>
      <c r="AB38" s="43"/>
      <c r="AC38" s="43"/>
      <c r="AD38" s="13"/>
      <c r="AE38" s="13"/>
      <c r="AF38" s="13"/>
      <c r="AG38" s="13"/>
      <c r="AH38" s="13"/>
      <c r="AI38" s="13"/>
      <c r="AJ38" s="13"/>
      <c r="AK38" s="13"/>
      <c r="AL38" s="13"/>
      <c r="AM38" s="13"/>
      <c r="AN38" s="13"/>
      <c r="AO38" s="13"/>
      <c r="AP38" s="13"/>
      <c r="AQ38" s="13"/>
      <c r="AR38" s="13"/>
    </row>
    <row r="39" spans="2:44" ht="14.25" customHeight="1" thickTop="1">
      <c r="B39" s="406" t="s">
        <v>759</v>
      </c>
      <c r="C39" s="407"/>
      <c r="D39" s="407"/>
      <c r="E39" s="407"/>
      <c r="F39" s="407"/>
      <c r="G39" s="407"/>
      <c r="H39" s="407"/>
      <c r="I39" s="407"/>
      <c r="J39" s="407"/>
      <c r="K39" s="407"/>
      <c r="L39" s="407"/>
      <c r="M39" s="407"/>
      <c r="N39" s="407"/>
      <c r="O39" s="407"/>
      <c r="P39" s="407"/>
      <c r="Q39" s="407"/>
      <c r="R39" s="408"/>
      <c r="T39" s="7"/>
      <c r="U39" s="8"/>
      <c r="V39" s="8"/>
      <c r="W39" s="359" t="s">
        <v>113</v>
      </c>
      <c r="X39" s="8"/>
      <c r="Y39" s="360"/>
      <c r="Z39" s="8"/>
      <c r="AA39" s="359" t="s">
        <v>114</v>
      </c>
      <c r="AB39" s="8"/>
      <c r="AC39" s="360"/>
      <c r="AD39" s="8"/>
      <c r="AE39" s="359" t="s">
        <v>2</v>
      </c>
      <c r="AF39" s="8"/>
      <c r="AG39" s="197"/>
      <c r="AH39" s="197"/>
      <c r="AI39" s="198"/>
      <c r="AJ39" s="71"/>
      <c r="AK39" s="71"/>
      <c r="AL39" s="71"/>
      <c r="AM39" s="71"/>
      <c r="AN39" s="71"/>
      <c r="AO39" s="71"/>
      <c r="AP39" s="71"/>
      <c r="AQ39" s="71"/>
      <c r="AR39" s="71"/>
    </row>
    <row r="40" spans="2:122" ht="16.5" customHeight="1">
      <c r="B40" s="403"/>
      <c r="C40" s="404"/>
      <c r="D40" s="404"/>
      <c r="E40" s="404"/>
      <c r="F40" s="404"/>
      <c r="G40" s="404"/>
      <c r="H40" s="404"/>
      <c r="I40" s="404"/>
      <c r="J40" s="404"/>
      <c r="K40" s="404"/>
      <c r="L40" s="404"/>
      <c r="M40" s="404"/>
      <c r="N40" s="404"/>
      <c r="O40" s="404"/>
      <c r="P40" s="404"/>
      <c r="Q40" s="404"/>
      <c r="R40" s="405"/>
      <c r="T40" s="10"/>
      <c r="U40" s="91" t="s">
        <v>120</v>
      </c>
      <c r="V40" s="92" t="s">
        <v>11</v>
      </c>
      <c r="W40" s="92" t="s">
        <v>12</v>
      </c>
      <c r="X40" s="92" t="s">
        <v>13</v>
      </c>
      <c r="Y40" s="46"/>
      <c r="Z40" s="13"/>
      <c r="AA40" s="92" t="s">
        <v>12</v>
      </c>
      <c r="AB40" s="92" t="s">
        <v>13</v>
      </c>
      <c r="AC40" s="46"/>
      <c r="AD40" s="13"/>
      <c r="AE40" s="92" t="s">
        <v>12</v>
      </c>
      <c r="AF40" s="92" t="s">
        <v>13</v>
      </c>
      <c r="AG40" s="71"/>
      <c r="AH40" s="71"/>
      <c r="AI40" s="206"/>
      <c r="AJ40" s="101"/>
      <c r="AK40"/>
      <c r="AL40" s="379"/>
      <c r="AM40" s="380"/>
      <c r="AN40"/>
      <c r="AO40"/>
      <c r="AP40"/>
      <c r="AQ40"/>
      <c r="AR40"/>
      <c r="DG40" s="1"/>
      <c r="DH40" s="1"/>
      <c r="DI40" s="1"/>
      <c r="DJ40" s="1"/>
      <c r="DK40" s="1"/>
      <c r="DL40" s="1"/>
      <c r="DM40" s="1"/>
      <c r="DN40" s="1"/>
      <c r="DO40" s="1"/>
      <c r="DP40" s="1"/>
      <c r="DQ40" s="1"/>
      <c r="DR40" s="1"/>
    </row>
    <row r="41" spans="2:122" ht="16.5" customHeight="1">
      <c r="B41" s="105"/>
      <c r="C41" s="106"/>
      <c r="D41" s="106"/>
      <c r="E41" s="106"/>
      <c r="F41" s="106"/>
      <c r="G41" s="106"/>
      <c r="H41" s="106"/>
      <c r="I41" s="106"/>
      <c r="J41" s="106"/>
      <c r="K41" s="106"/>
      <c r="L41" s="106"/>
      <c r="M41" s="106"/>
      <c r="N41" s="106"/>
      <c r="O41" s="106"/>
      <c r="P41" s="106"/>
      <c r="Q41" s="106"/>
      <c r="R41" s="107"/>
      <c r="T41" s="10"/>
      <c r="U41" s="94" t="s">
        <v>819</v>
      </c>
      <c r="V41" s="95" t="s">
        <v>820</v>
      </c>
      <c r="W41" s="354">
        <f>'General Information'!$C$22*W29/60</f>
        <v>0</v>
      </c>
      <c r="X41" s="56"/>
      <c r="Y41" s="57"/>
      <c r="Z41" s="61"/>
      <c r="AA41" s="354">
        <f>'General Information'!$C$22*AA29/60</f>
        <v>0</v>
      </c>
      <c r="AB41" s="56"/>
      <c r="AC41" s="46"/>
      <c r="AD41" s="13"/>
      <c r="AE41" s="354">
        <f>'General Information'!$C$22*AP29/60</f>
        <v>0</v>
      </c>
      <c r="AF41" s="56"/>
      <c r="AG41" s="71"/>
      <c r="AH41" s="71"/>
      <c r="AI41" s="206"/>
      <c r="AJ41"/>
      <c r="AK41"/>
      <c r="AL41" s="381"/>
      <c r="AM41"/>
      <c r="AN41"/>
      <c r="AO41"/>
      <c r="AP41"/>
      <c r="AQ41"/>
      <c r="AR41"/>
      <c r="DG41" s="1"/>
      <c r="DH41" s="1"/>
      <c r="DI41" s="1"/>
      <c r="DJ41" s="1"/>
      <c r="DK41" s="1"/>
      <c r="DL41" s="1"/>
      <c r="DM41" s="1"/>
      <c r="DN41" s="1"/>
      <c r="DO41" s="1"/>
      <c r="DP41" s="1"/>
      <c r="DQ41" s="1"/>
      <c r="DR41" s="1"/>
    </row>
    <row r="42" spans="2:122" ht="16.5" customHeight="1">
      <c r="B42" s="403"/>
      <c r="C42" s="404"/>
      <c r="D42" s="404"/>
      <c r="E42" s="404"/>
      <c r="F42" s="404"/>
      <c r="G42" s="404"/>
      <c r="H42" s="404"/>
      <c r="I42" s="404"/>
      <c r="J42" s="404"/>
      <c r="K42" s="404"/>
      <c r="L42" s="404"/>
      <c r="M42" s="404"/>
      <c r="N42" s="404"/>
      <c r="O42" s="404"/>
      <c r="P42" s="404"/>
      <c r="Q42" s="404"/>
      <c r="R42" s="405"/>
      <c r="T42" s="10"/>
      <c r="U42" s="94" t="s">
        <v>828</v>
      </c>
      <c r="V42" s="95" t="s">
        <v>795</v>
      </c>
      <c r="W42" s="354">
        <f>((AA18-$N21)+(AA19-$N22)+(AA20-$N23)/15/('General Information'!$C$20/0.008314/(E15+273.15)))</f>
        <v>0</v>
      </c>
      <c r="X42" s="56"/>
      <c r="Y42" s="57"/>
      <c r="Z42" s="61"/>
      <c r="AA42" s="354">
        <f>((AI18-$N21)+(AI19-$N22)+(AI20-$N23)/15/('General Information'!$C$20/0.008314/(I15+273.15)))</f>
        <v>0</v>
      </c>
      <c r="AB42" s="56"/>
      <c r="AC42" s="57"/>
      <c r="AD42" s="13"/>
      <c r="AE42" s="354">
        <f>((AP18-$N21)+(AP19-$N22)+(AP20-$N23)/15/('General Information'!$C$20/0.008314/(M15+273.15)))</f>
        <v>0</v>
      </c>
      <c r="AF42" s="56"/>
      <c r="AG42" s="71"/>
      <c r="AH42" s="71"/>
      <c r="AI42" s="206"/>
      <c r="AJ42"/>
      <c r="AK42"/>
      <c r="AL42"/>
      <c r="AM42"/>
      <c r="AN42"/>
      <c r="AO42"/>
      <c r="AP42"/>
      <c r="AQ42"/>
      <c r="AR42"/>
      <c r="DG42" s="1"/>
      <c r="DH42" s="1"/>
      <c r="DI42" s="1"/>
      <c r="DJ42" s="1"/>
      <c r="DK42" s="1"/>
      <c r="DL42" s="1"/>
      <c r="DM42" s="1"/>
      <c r="DN42" s="1"/>
      <c r="DO42" s="1"/>
      <c r="DP42" s="1"/>
      <c r="DQ42" s="1"/>
      <c r="DR42" s="1"/>
    </row>
    <row r="43" spans="2:122" ht="16.5" customHeight="1">
      <c r="B43" s="403"/>
      <c r="C43" s="404"/>
      <c r="D43" s="404"/>
      <c r="E43" s="404"/>
      <c r="F43" s="404"/>
      <c r="G43" s="404"/>
      <c r="H43" s="404"/>
      <c r="I43" s="404"/>
      <c r="J43" s="404"/>
      <c r="K43" s="404"/>
      <c r="L43" s="404"/>
      <c r="M43" s="404"/>
      <c r="N43" s="404"/>
      <c r="O43" s="404"/>
      <c r="P43" s="404"/>
      <c r="Q43" s="404"/>
      <c r="R43" s="405"/>
      <c r="T43" s="10"/>
      <c r="U43" s="94" t="s">
        <v>821</v>
      </c>
      <c r="V43" s="95" t="s">
        <v>822</v>
      </c>
      <c r="W43" s="355">
        <f>'General Information'!$C$20/0.008314/($E$15+273.15)*W42*0.000001*12</f>
        <v>0</v>
      </c>
      <c r="X43" s="56"/>
      <c r="Y43" s="57"/>
      <c r="Z43" s="61"/>
      <c r="AA43" s="355">
        <f>'General Information'!$C$20/0.008314/($E$15+273.15)*AA42*0.000001*12</f>
        <v>0</v>
      </c>
      <c r="AB43" s="56"/>
      <c r="AC43" s="57"/>
      <c r="AD43" s="13"/>
      <c r="AE43" s="355">
        <f>'General Information'!$C$20/0.008314/($E$15+273.15)*AE42*0.000001*12</f>
        <v>0</v>
      </c>
      <c r="AF43" s="56"/>
      <c r="AG43" s="71"/>
      <c r="AH43" s="71"/>
      <c r="AI43" s="206"/>
      <c r="AJ43"/>
      <c r="AK43"/>
      <c r="AL43"/>
      <c r="AM43"/>
      <c r="AN43"/>
      <c r="AO43"/>
      <c r="AP43"/>
      <c r="AQ43"/>
      <c r="AR43"/>
      <c r="DG43" s="1"/>
      <c r="DH43" s="1"/>
      <c r="DI43" s="1"/>
      <c r="DJ43" s="1"/>
      <c r="DK43" s="1"/>
      <c r="DL43" s="1"/>
      <c r="DM43" s="1"/>
      <c r="DN43" s="1"/>
      <c r="DO43" s="1"/>
      <c r="DP43" s="1"/>
      <c r="DQ43" s="1"/>
      <c r="DR43" s="1"/>
    </row>
    <row r="44" spans="2:122" ht="16.5" customHeight="1">
      <c r="B44" s="403"/>
      <c r="C44" s="404"/>
      <c r="D44" s="404"/>
      <c r="E44" s="404"/>
      <c r="F44" s="404"/>
      <c r="G44" s="404"/>
      <c r="H44" s="404"/>
      <c r="I44" s="404"/>
      <c r="J44" s="404"/>
      <c r="K44" s="404"/>
      <c r="L44" s="404"/>
      <c r="M44" s="404"/>
      <c r="N44" s="404"/>
      <c r="O44" s="404"/>
      <c r="P44" s="404"/>
      <c r="Q44" s="404"/>
      <c r="R44" s="405"/>
      <c r="T44" s="10"/>
      <c r="U44" s="94" t="s">
        <v>849</v>
      </c>
      <c r="V44" s="95" t="s">
        <v>23</v>
      </c>
      <c r="W44" s="354" t="e">
        <f>W43*W41/fuelFracC</f>
        <v>#DIV/0!</v>
      </c>
      <c r="X44" s="56"/>
      <c r="Y44" s="57"/>
      <c r="Z44" s="61"/>
      <c r="AA44" s="354" t="e">
        <f>AA43*AA41/fuelFracC</f>
        <v>#DIV/0!</v>
      </c>
      <c r="AB44" s="56"/>
      <c r="AC44" s="57"/>
      <c r="AD44" s="13"/>
      <c r="AE44" s="354" t="e">
        <f>AE43*AE41/fuelFracC</f>
        <v>#DIV/0!</v>
      </c>
      <c r="AF44" s="56"/>
      <c r="AG44" s="13"/>
      <c r="AH44" s="13"/>
      <c r="AI44" s="14"/>
      <c r="DG44" s="1"/>
      <c r="DH44" s="1"/>
      <c r="DI44" s="1"/>
      <c r="DJ44" s="1"/>
      <c r="DK44" s="1"/>
      <c r="DL44" s="1"/>
      <c r="DM44" s="1"/>
      <c r="DN44" s="1"/>
      <c r="DO44" s="1"/>
      <c r="DP44" s="1"/>
      <c r="DQ44" s="1"/>
      <c r="DR44" s="1"/>
    </row>
    <row r="45" spans="2:35" ht="16.5" customHeight="1">
      <c r="B45" s="403"/>
      <c r="C45" s="404"/>
      <c r="D45" s="404"/>
      <c r="E45" s="404"/>
      <c r="F45" s="404"/>
      <c r="G45" s="404"/>
      <c r="H45" s="404"/>
      <c r="I45" s="404"/>
      <c r="J45" s="404"/>
      <c r="K45" s="404"/>
      <c r="L45" s="404"/>
      <c r="M45" s="404"/>
      <c r="N45" s="404"/>
      <c r="O45" s="404"/>
      <c r="P45" s="404"/>
      <c r="Q45" s="404"/>
      <c r="R45" s="405"/>
      <c r="T45" s="10"/>
      <c r="U45" s="13" t="s">
        <v>838</v>
      </c>
      <c r="V45" s="22" t="s">
        <v>116</v>
      </c>
      <c r="W45" s="354">
        <f>IF(W24=0,0,W44*(1-$E$18)/(W24))</f>
        <v>0</v>
      </c>
      <c r="X45" s="56"/>
      <c r="Y45" s="57"/>
      <c r="Z45" s="61"/>
      <c r="AA45" s="354">
        <f>IF(AA24=0,0,AA44*(1-$E$18)/(AA24))</f>
        <v>0</v>
      </c>
      <c r="AB45" s="13"/>
      <c r="AC45" s="57"/>
      <c r="AD45" s="13"/>
      <c r="AE45" s="354">
        <f>IF(AP24=0,0,AE44*(1-$E$18)/(AP24))</f>
        <v>0</v>
      </c>
      <c r="AF45" s="13"/>
      <c r="AG45" s="13"/>
      <c r="AH45" s="13"/>
      <c r="AI45" s="14"/>
    </row>
    <row r="46" spans="2:35" ht="16.5" customHeight="1">
      <c r="B46" s="105"/>
      <c r="C46" s="106"/>
      <c r="D46" s="106"/>
      <c r="E46" s="106"/>
      <c r="F46" s="106"/>
      <c r="G46" s="106"/>
      <c r="H46" s="106"/>
      <c r="I46" s="106"/>
      <c r="J46" s="106"/>
      <c r="K46" s="106"/>
      <c r="L46" s="106"/>
      <c r="M46" s="106"/>
      <c r="N46" s="106"/>
      <c r="O46" s="106"/>
      <c r="P46" s="106"/>
      <c r="Q46" s="106"/>
      <c r="R46" s="107"/>
      <c r="T46" s="10"/>
      <c r="U46" s="361" t="s">
        <v>827</v>
      </c>
      <c r="V46" s="13"/>
      <c r="W46" s="22"/>
      <c r="X46" s="56"/>
      <c r="Y46" s="57"/>
      <c r="Z46" s="61"/>
      <c r="AA46" s="22"/>
      <c r="AB46" s="13"/>
      <c r="AC46" s="57"/>
      <c r="AD46" s="13"/>
      <c r="AE46" s="22"/>
      <c r="AF46" s="13"/>
      <c r="AG46" s="13"/>
      <c r="AH46" s="13"/>
      <c r="AI46" s="14"/>
    </row>
    <row r="47" spans="2:35" ht="16.5" customHeight="1">
      <c r="B47" s="403"/>
      <c r="C47" s="404"/>
      <c r="D47" s="404"/>
      <c r="E47" s="404"/>
      <c r="F47" s="404"/>
      <c r="G47" s="404"/>
      <c r="H47" s="404"/>
      <c r="I47" s="404"/>
      <c r="J47" s="404"/>
      <c r="K47" s="404"/>
      <c r="L47" s="404"/>
      <c r="M47" s="404"/>
      <c r="N47" s="404"/>
      <c r="O47" s="404"/>
      <c r="P47" s="404"/>
      <c r="Q47" s="404"/>
      <c r="R47" s="405"/>
      <c r="T47" s="10"/>
      <c r="U47" s="13" t="s">
        <v>826</v>
      </c>
      <c r="V47" s="13" t="s">
        <v>167</v>
      </c>
      <c r="W47" s="354">
        <f>W51*W$33/1000</f>
        <v>0</v>
      </c>
      <c r="X47" s="56"/>
      <c r="Y47" s="57"/>
      <c r="Z47" s="61"/>
      <c r="AA47" s="354">
        <f>AA51*AA$33/1000</f>
        <v>0</v>
      </c>
      <c r="AB47" s="13"/>
      <c r="AC47" s="57"/>
      <c r="AD47" s="13"/>
      <c r="AE47" s="354">
        <f>AE51*AP$32/1000</f>
        <v>0</v>
      </c>
      <c r="AF47" s="13"/>
      <c r="AG47" s="13"/>
      <c r="AH47" s="13"/>
      <c r="AI47" s="14"/>
    </row>
    <row r="48" spans="2:35" ht="16.5" customHeight="1">
      <c r="B48" s="400"/>
      <c r="C48" s="401"/>
      <c r="D48" s="401"/>
      <c r="E48" s="401"/>
      <c r="F48" s="401"/>
      <c r="G48" s="401"/>
      <c r="H48" s="401"/>
      <c r="I48" s="401"/>
      <c r="J48" s="401"/>
      <c r="K48" s="401"/>
      <c r="L48" s="401"/>
      <c r="M48" s="401"/>
      <c r="N48" s="401"/>
      <c r="O48" s="401"/>
      <c r="P48" s="401"/>
      <c r="Q48" s="401"/>
      <c r="R48" s="402"/>
      <c r="T48" s="10"/>
      <c r="U48" s="13" t="s">
        <v>824</v>
      </c>
      <c r="V48" s="13" t="s">
        <v>167</v>
      </c>
      <c r="W48" s="354">
        <f>W52*W$33/1000</f>
        <v>0</v>
      </c>
      <c r="X48" s="56"/>
      <c r="Y48" s="57"/>
      <c r="Z48" s="61"/>
      <c r="AA48" s="354">
        <f>AA52*AA$33/1000</f>
        <v>0</v>
      </c>
      <c r="AB48" s="13"/>
      <c r="AC48" s="57"/>
      <c r="AD48" s="13"/>
      <c r="AE48" s="354">
        <f>AE52*AP$32/1000</f>
        <v>0</v>
      </c>
      <c r="AF48" s="13"/>
      <c r="AG48" s="13"/>
      <c r="AH48" s="13"/>
      <c r="AI48" s="14"/>
    </row>
    <row r="49" spans="3:35" ht="18.75" customHeight="1">
      <c r="C49" s="1"/>
      <c r="H49" s="1"/>
      <c r="I49" s="1"/>
      <c r="J49" s="1"/>
      <c r="K49" s="1"/>
      <c r="L49" s="1"/>
      <c r="M49" s="1"/>
      <c r="N49" s="1"/>
      <c r="O49" s="1"/>
      <c r="P49" s="1"/>
      <c r="Q49" s="1"/>
      <c r="R49" s="1"/>
      <c r="T49" s="10"/>
      <c r="U49" s="13" t="s">
        <v>825</v>
      </c>
      <c r="V49" s="13" t="s">
        <v>167</v>
      </c>
      <c r="W49" s="354">
        <f>W53*W$33/1000</f>
        <v>0</v>
      </c>
      <c r="X49" s="13"/>
      <c r="Y49" s="57"/>
      <c r="Z49" s="61"/>
      <c r="AA49" s="354">
        <f>AA53*AA$33/1000</f>
        <v>0</v>
      </c>
      <c r="AB49" s="13"/>
      <c r="AC49" s="57"/>
      <c r="AD49" s="13"/>
      <c r="AE49" s="354">
        <f>AE53*AP$32/1000</f>
        <v>0</v>
      </c>
      <c r="AF49" s="13"/>
      <c r="AG49" s="13"/>
      <c r="AH49" s="13"/>
      <c r="AI49" s="14"/>
    </row>
    <row r="50" spans="2:35" ht="13.5" customHeight="1">
      <c r="B50" s="406" t="s">
        <v>816</v>
      </c>
      <c r="C50" s="407"/>
      <c r="D50" s="407"/>
      <c r="E50" s="407"/>
      <c r="F50" s="407"/>
      <c r="G50" s="407"/>
      <c r="H50" s="407"/>
      <c r="I50" s="407"/>
      <c r="J50" s="407"/>
      <c r="K50" s="407"/>
      <c r="L50" s="407"/>
      <c r="M50" s="407"/>
      <c r="N50" s="407"/>
      <c r="O50" s="407"/>
      <c r="P50" s="407"/>
      <c r="Q50" s="407"/>
      <c r="R50" s="408"/>
      <c r="T50" s="10"/>
      <c r="U50" s="361" t="s">
        <v>823</v>
      </c>
      <c r="V50" s="13"/>
      <c r="W50" s="22"/>
      <c r="X50" s="13"/>
      <c r="Y50" s="57"/>
      <c r="Z50" s="61"/>
      <c r="AA50" s="22"/>
      <c r="AB50" s="13"/>
      <c r="AC50" s="57"/>
      <c r="AD50" s="13"/>
      <c r="AE50" s="22"/>
      <c r="AF50" s="13"/>
      <c r="AG50" s="13"/>
      <c r="AH50" s="13"/>
      <c r="AI50" s="14"/>
    </row>
    <row r="51" spans="2:35" ht="13.5" customHeight="1">
      <c r="B51" s="403"/>
      <c r="C51" s="404"/>
      <c r="D51" s="404"/>
      <c r="E51" s="404"/>
      <c r="F51" s="404"/>
      <c r="G51" s="404"/>
      <c r="H51" s="404"/>
      <c r="I51" s="404"/>
      <c r="J51" s="404"/>
      <c r="K51" s="404"/>
      <c r="L51" s="404"/>
      <c r="M51" s="404"/>
      <c r="N51" s="404"/>
      <c r="O51" s="404"/>
      <c r="P51" s="404"/>
      <c r="Q51" s="404"/>
      <c r="R51" s="405"/>
      <c r="T51" s="10"/>
      <c r="U51" s="13" t="s">
        <v>826</v>
      </c>
      <c r="V51" s="22" t="s">
        <v>835</v>
      </c>
      <c r="W51" s="354">
        <f>IF(W42&gt;0,((AA18-$N21)*44/12)/(W$42/fuelFracC)*1000,0)</f>
        <v>0</v>
      </c>
      <c r="X51" s="13"/>
      <c r="Y51" s="57"/>
      <c r="Z51" s="61"/>
      <c r="AA51" s="354">
        <f>IF(AA42&gt;0,((AI18-$N21)*44/12)/(AA$42/fuelFracC)*1000,0)</f>
        <v>0</v>
      </c>
      <c r="AB51" s="13"/>
      <c r="AC51" s="57"/>
      <c r="AD51" s="13"/>
      <c r="AE51" s="354">
        <f>IF(AE42&gt;0,((AQ18-$N21)*44/12)/(AE$42/fuelFracC)*1000,0)</f>
        <v>0</v>
      </c>
      <c r="AF51" s="13"/>
      <c r="AG51" s="13"/>
      <c r="AH51" s="13"/>
      <c r="AI51" s="14"/>
    </row>
    <row r="52" spans="2:35" ht="13.5" customHeight="1">
      <c r="B52" s="105"/>
      <c r="C52" s="106"/>
      <c r="D52" s="106"/>
      <c r="E52" s="106"/>
      <c r="F52" s="106"/>
      <c r="G52" s="106"/>
      <c r="H52" s="106"/>
      <c r="I52" s="106"/>
      <c r="J52" s="106"/>
      <c r="K52" s="106"/>
      <c r="L52" s="106"/>
      <c r="M52" s="106"/>
      <c r="N52" s="106"/>
      <c r="O52" s="106"/>
      <c r="P52" s="106"/>
      <c r="Q52" s="106"/>
      <c r="R52" s="107"/>
      <c r="T52" s="10"/>
      <c r="U52" s="13" t="s">
        <v>824</v>
      </c>
      <c r="V52" s="22" t="s">
        <v>835</v>
      </c>
      <c r="W52" s="354">
        <f>IF(W42&gt;0,((AA19-$N22)*28/12)/(W$42/fuelFracC)*1000,0)</f>
        <v>0</v>
      </c>
      <c r="X52" s="13"/>
      <c r="Y52" s="57"/>
      <c r="Z52" s="61"/>
      <c r="AA52" s="354">
        <f>IF(AA42&gt;0,((AI19-$N22)*28/12)/(AA$42/fuelFracC)*1000,0)</f>
        <v>0</v>
      </c>
      <c r="AB52" s="13"/>
      <c r="AC52" s="57"/>
      <c r="AD52" s="13"/>
      <c r="AE52" s="354">
        <f>IF(AE42&gt;0,((AP19-$N22)*28/12)/(AE$42/fuelFracC)*1000,0)</f>
        <v>0</v>
      </c>
      <c r="AF52" s="13"/>
      <c r="AG52" s="13"/>
      <c r="AH52" s="13"/>
      <c r="AI52" s="14"/>
    </row>
    <row r="53" spans="2:35" ht="13.5" customHeight="1">
      <c r="B53" s="403"/>
      <c r="C53" s="404"/>
      <c r="D53" s="404"/>
      <c r="E53" s="404"/>
      <c r="F53" s="404"/>
      <c r="G53" s="404"/>
      <c r="H53" s="404"/>
      <c r="I53" s="404"/>
      <c r="J53" s="404"/>
      <c r="K53" s="404"/>
      <c r="L53" s="404"/>
      <c r="M53" s="404"/>
      <c r="N53" s="404"/>
      <c r="O53" s="404"/>
      <c r="P53" s="404"/>
      <c r="Q53" s="404"/>
      <c r="R53" s="405"/>
      <c r="T53" s="10"/>
      <c r="U53" s="13" t="s">
        <v>825</v>
      </c>
      <c r="V53" s="22" t="s">
        <v>835</v>
      </c>
      <c r="W53" s="354">
        <f>IF(W43&gt;0,(AA20-$N23)/(W$43/fuelFracC)*1000/1000000,0)</f>
        <v>0</v>
      </c>
      <c r="X53" s="13"/>
      <c r="Y53" s="57"/>
      <c r="Z53" s="61"/>
      <c r="AA53" s="354">
        <f>IF(AA43&gt;0,(AI20-$N23)/(AA$43/fuelFracC)*1000/1000000,0)</f>
        <v>0</v>
      </c>
      <c r="AB53" s="13"/>
      <c r="AC53" s="57"/>
      <c r="AD53" s="13"/>
      <c r="AE53" s="354">
        <f>IF(AE43&gt;0,(AP20-$N23)/(AE$43/fuelFracC)*1000/1000000,0)</f>
        <v>0</v>
      </c>
      <c r="AF53" s="13"/>
      <c r="AG53" s="13"/>
      <c r="AH53" s="13"/>
      <c r="AI53" s="14"/>
    </row>
    <row r="54" spans="2:35" ht="13.5" customHeight="1" thickBot="1">
      <c r="B54" s="403"/>
      <c r="C54" s="404"/>
      <c r="D54" s="404"/>
      <c r="E54" s="404"/>
      <c r="F54" s="404"/>
      <c r="G54" s="404"/>
      <c r="H54" s="404"/>
      <c r="I54" s="404"/>
      <c r="J54" s="404"/>
      <c r="K54" s="404"/>
      <c r="L54" s="404"/>
      <c r="M54" s="404"/>
      <c r="N54" s="404"/>
      <c r="O54" s="404"/>
      <c r="P54" s="404"/>
      <c r="Q54" s="404"/>
      <c r="R54" s="405"/>
      <c r="T54" s="10"/>
      <c r="U54" s="13"/>
      <c r="V54" s="13"/>
      <c r="W54" s="13"/>
      <c r="X54" s="13"/>
      <c r="Y54" s="57"/>
      <c r="Z54" s="61"/>
      <c r="AA54" s="13"/>
      <c r="AB54" s="13"/>
      <c r="AC54" s="57"/>
      <c r="AD54" s="13"/>
      <c r="AE54" s="13"/>
      <c r="AF54" s="13"/>
      <c r="AG54" s="13"/>
      <c r="AH54" s="13"/>
      <c r="AI54" s="14"/>
    </row>
    <row r="55" spans="2:35" ht="13.5" customHeight="1" thickTop="1">
      <c r="B55" s="403"/>
      <c r="C55" s="404"/>
      <c r="D55" s="404"/>
      <c r="E55" s="404"/>
      <c r="F55" s="404"/>
      <c r="G55" s="404"/>
      <c r="H55" s="404"/>
      <c r="I55" s="404"/>
      <c r="J55" s="404"/>
      <c r="K55" s="404"/>
      <c r="L55" s="404"/>
      <c r="M55" s="404"/>
      <c r="N55" s="404"/>
      <c r="O55" s="404"/>
      <c r="P55" s="404"/>
      <c r="Q55" s="404"/>
      <c r="R55" s="405"/>
      <c r="T55" s="357"/>
      <c r="U55" s="358" t="s">
        <v>832</v>
      </c>
      <c r="V55" s="358"/>
      <c r="W55" s="358"/>
      <c r="X55" s="358"/>
      <c r="Y55" s="358"/>
      <c r="Z55" s="358"/>
      <c r="AA55" s="358"/>
      <c r="AB55" s="358"/>
      <c r="AC55" s="358"/>
      <c r="AD55" s="358"/>
      <c r="AE55" s="358"/>
      <c r="AF55" s="358"/>
      <c r="AG55" s="358"/>
      <c r="AH55" s="358"/>
      <c r="AI55" s="362"/>
    </row>
    <row r="56" spans="2:35" ht="13.5" customHeight="1">
      <c r="B56" s="403"/>
      <c r="C56" s="404"/>
      <c r="D56" s="404"/>
      <c r="E56" s="404"/>
      <c r="F56" s="404"/>
      <c r="G56" s="404"/>
      <c r="H56" s="404"/>
      <c r="I56" s="404"/>
      <c r="J56" s="404"/>
      <c r="K56" s="404"/>
      <c r="L56" s="404"/>
      <c r="M56" s="404"/>
      <c r="N56" s="404"/>
      <c r="O56" s="404"/>
      <c r="P56" s="404"/>
      <c r="Q56" s="404"/>
      <c r="R56" s="405"/>
      <c r="T56" s="10"/>
      <c r="U56" s="13" t="s">
        <v>833</v>
      </c>
      <c r="V56" s="13" t="s">
        <v>23</v>
      </c>
      <c r="W56" s="354">
        <f>(IF(AA$34=0,W48,AVERAGE(W48,AA48))+AE48)*5</f>
        <v>0</v>
      </c>
      <c r="X56" s="13"/>
      <c r="Y56" s="13"/>
      <c r="Z56" s="13"/>
      <c r="AA56" s="13"/>
      <c r="AB56" s="13"/>
      <c r="AC56" s="13"/>
      <c r="AD56" s="13"/>
      <c r="AE56" s="13"/>
      <c r="AF56" s="13"/>
      <c r="AG56" s="13"/>
      <c r="AH56" s="13"/>
      <c r="AI56" s="14"/>
    </row>
    <row r="57" spans="2:35" ht="13.5" customHeight="1" thickBot="1">
      <c r="B57" s="105"/>
      <c r="C57" s="106"/>
      <c r="D57" s="106"/>
      <c r="E57" s="106"/>
      <c r="F57" s="106"/>
      <c r="G57" s="106"/>
      <c r="H57" s="106"/>
      <c r="I57" s="106"/>
      <c r="J57" s="106"/>
      <c r="K57" s="106"/>
      <c r="L57" s="106"/>
      <c r="M57" s="106"/>
      <c r="N57" s="106"/>
      <c r="O57" s="106"/>
      <c r="P57" s="106"/>
      <c r="Q57" s="106"/>
      <c r="R57" s="107"/>
      <c r="T57" s="121"/>
      <c r="U57" s="122" t="s">
        <v>834</v>
      </c>
      <c r="V57" s="122" t="s">
        <v>23</v>
      </c>
      <c r="W57" s="371">
        <f>(IF(AA$34=0,W49,AVERAGE(W49,AA49))+AE49)*5</f>
        <v>0</v>
      </c>
      <c r="X57" s="122"/>
      <c r="Y57" s="122"/>
      <c r="Z57" s="122"/>
      <c r="AA57" s="122"/>
      <c r="AB57" s="122"/>
      <c r="AC57" s="122"/>
      <c r="AD57" s="122"/>
      <c r="AE57" s="122"/>
      <c r="AF57" s="122"/>
      <c r="AG57" s="122"/>
      <c r="AH57" s="122"/>
      <c r="AI57" s="124"/>
    </row>
    <row r="58" spans="2:18" ht="13.5" customHeight="1" thickTop="1">
      <c r="B58" s="403"/>
      <c r="C58" s="404"/>
      <c r="D58" s="404"/>
      <c r="E58" s="404"/>
      <c r="F58" s="404"/>
      <c r="G58" s="404"/>
      <c r="H58" s="404"/>
      <c r="I58" s="404"/>
      <c r="J58" s="404"/>
      <c r="K58" s="404"/>
      <c r="L58" s="404"/>
      <c r="M58" s="404"/>
      <c r="N58" s="404"/>
      <c r="O58" s="404"/>
      <c r="P58" s="404"/>
      <c r="Q58" s="404"/>
      <c r="R58" s="405"/>
    </row>
    <row r="59" spans="2:18" ht="13.5" customHeight="1">
      <c r="B59" s="400"/>
      <c r="C59" s="401"/>
      <c r="D59" s="401"/>
      <c r="E59" s="401"/>
      <c r="F59" s="401"/>
      <c r="G59" s="401"/>
      <c r="H59" s="401"/>
      <c r="I59" s="401"/>
      <c r="J59" s="401"/>
      <c r="K59" s="401"/>
      <c r="L59" s="401"/>
      <c r="M59" s="401"/>
      <c r="N59" s="401"/>
      <c r="O59" s="401"/>
      <c r="P59" s="401"/>
      <c r="Q59" s="401"/>
      <c r="R59" s="402"/>
    </row>
    <row r="61" spans="2:18" ht="15.75" customHeight="1">
      <c r="B61" s="406" t="s">
        <v>817</v>
      </c>
      <c r="C61" s="407"/>
      <c r="D61" s="407"/>
      <c r="E61" s="407"/>
      <c r="F61" s="407"/>
      <c r="G61" s="407"/>
      <c r="H61" s="407"/>
      <c r="I61" s="407"/>
      <c r="J61" s="407"/>
      <c r="K61" s="407"/>
      <c r="L61" s="407"/>
      <c r="M61" s="407"/>
      <c r="N61" s="407"/>
      <c r="O61" s="407"/>
      <c r="P61" s="407"/>
      <c r="Q61" s="407"/>
      <c r="R61" s="408"/>
    </row>
    <row r="62" spans="2:18" ht="15.75" customHeight="1">
      <c r="B62" s="403"/>
      <c r="C62" s="404"/>
      <c r="D62" s="404"/>
      <c r="E62" s="404"/>
      <c r="F62" s="404"/>
      <c r="G62" s="404"/>
      <c r="H62" s="404"/>
      <c r="I62" s="404"/>
      <c r="J62" s="404"/>
      <c r="K62" s="404"/>
      <c r="L62" s="404"/>
      <c r="M62" s="404"/>
      <c r="N62" s="404"/>
      <c r="O62" s="404"/>
      <c r="P62" s="404"/>
      <c r="Q62" s="404"/>
      <c r="R62" s="405"/>
    </row>
    <row r="63" spans="2:18" ht="15.75" customHeight="1">
      <c r="B63" s="105"/>
      <c r="C63" s="106"/>
      <c r="D63" s="106"/>
      <c r="E63" s="106"/>
      <c r="F63" s="106"/>
      <c r="G63" s="106"/>
      <c r="H63" s="106"/>
      <c r="I63" s="106"/>
      <c r="J63" s="106"/>
      <c r="K63" s="106"/>
      <c r="L63" s="106"/>
      <c r="M63" s="106"/>
      <c r="N63" s="106"/>
      <c r="O63" s="106"/>
      <c r="P63" s="106"/>
      <c r="Q63" s="106"/>
      <c r="R63" s="107"/>
    </row>
    <row r="64" spans="2:18" ht="15.75" customHeight="1">
      <c r="B64" s="403"/>
      <c r="C64" s="404"/>
      <c r="D64" s="404"/>
      <c r="E64" s="404"/>
      <c r="F64" s="404"/>
      <c r="G64" s="404"/>
      <c r="H64" s="404"/>
      <c r="I64" s="404"/>
      <c r="J64" s="404"/>
      <c r="K64" s="404"/>
      <c r="L64" s="404"/>
      <c r="M64" s="404"/>
      <c r="N64" s="404"/>
      <c r="O64" s="404"/>
      <c r="P64" s="404"/>
      <c r="Q64" s="404"/>
      <c r="R64" s="405"/>
    </row>
    <row r="65" spans="2:18" ht="15.75" customHeight="1">
      <c r="B65" s="403"/>
      <c r="C65" s="404"/>
      <c r="D65" s="404"/>
      <c r="E65" s="404"/>
      <c r="F65" s="404"/>
      <c r="G65" s="404"/>
      <c r="H65" s="404"/>
      <c r="I65" s="404"/>
      <c r="J65" s="404"/>
      <c r="K65" s="404"/>
      <c r="L65" s="404"/>
      <c r="M65" s="404"/>
      <c r="N65" s="404"/>
      <c r="O65" s="404"/>
      <c r="P65" s="404"/>
      <c r="Q65" s="404"/>
      <c r="R65" s="405"/>
    </row>
    <row r="66" spans="2:18" ht="15.75" customHeight="1">
      <c r="B66" s="403"/>
      <c r="C66" s="404"/>
      <c r="D66" s="404"/>
      <c r="E66" s="404"/>
      <c r="F66" s="404"/>
      <c r="G66" s="404"/>
      <c r="H66" s="404"/>
      <c r="I66" s="404"/>
      <c r="J66" s="404"/>
      <c r="K66" s="404"/>
      <c r="L66" s="404"/>
      <c r="M66" s="404"/>
      <c r="N66" s="404"/>
      <c r="O66" s="404"/>
      <c r="P66" s="404"/>
      <c r="Q66" s="404"/>
      <c r="R66" s="405"/>
    </row>
    <row r="67" spans="2:18" ht="15.75" customHeight="1">
      <c r="B67" s="403"/>
      <c r="C67" s="404"/>
      <c r="D67" s="404"/>
      <c r="E67" s="404"/>
      <c r="F67" s="404"/>
      <c r="G67" s="404"/>
      <c r="H67" s="404"/>
      <c r="I67" s="404"/>
      <c r="J67" s="404"/>
      <c r="K67" s="404"/>
      <c r="L67" s="404"/>
      <c r="M67" s="404"/>
      <c r="N67" s="404"/>
      <c r="O67" s="404"/>
      <c r="P67" s="404"/>
      <c r="Q67" s="404"/>
      <c r="R67" s="405"/>
    </row>
    <row r="68" spans="2:18" ht="15.75" customHeight="1">
      <c r="B68" s="105"/>
      <c r="C68" s="106"/>
      <c r="D68" s="106"/>
      <c r="E68" s="106"/>
      <c r="F68" s="106"/>
      <c r="G68" s="106"/>
      <c r="H68" s="106"/>
      <c r="I68" s="106"/>
      <c r="J68" s="106"/>
      <c r="K68" s="106"/>
      <c r="L68" s="106"/>
      <c r="M68" s="106"/>
      <c r="N68" s="106"/>
      <c r="O68" s="106"/>
      <c r="P68" s="106"/>
      <c r="Q68" s="106"/>
      <c r="R68" s="107"/>
    </row>
    <row r="69" spans="2:18" ht="15.75" customHeight="1">
      <c r="B69" s="403"/>
      <c r="C69" s="404"/>
      <c r="D69" s="404"/>
      <c r="E69" s="404"/>
      <c r="F69" s="404"/>
      <c r="G69" s="404"/>
      <c r="H69" s="404"/>
      <c r="I69" s="404"/>
      <c r="J69" s="404"/>
      <c r="K69" s="404"/>
      <c r="L69" s="404"/>
      <c r="M69" s="404"/>
      <c r="N69" s="404"/>
      <c r="O69" s="404"/>
      <c r="P69" s="404"/>
      <c r="Q69" s="404"/>
      <c r="R69" s="405"/>
    </row>
    <row r="70" spans="2:18" ht="15" customHeight="1">
      <c r="B70" s="400"/>
      <c r="C70" s="401"/>
      <c r="D70" s="401"/>
      <c r="E70" s="401"/>
      <c r="F70" s="401"/>
      <c r="G70" s="401"/>
      <c r="H70" s="401"/>
      <c r="I70" s="401"/>
      <c r="J70" s="401"/>
      <c r="K70" s="401"/>
      <c r="L70" s="401"/>
      <c r="M70" s="401"/>
      <c r="N70" s="401"/>
      <c r="O70" s="401"/>
      <c r="P70" s="401"/>
      <c r="Q70" s="401"/>
      <c r="R70" s="402"/>
    </row>
    <row r="72" ht="27.75" customHeight="1">
      <c r="D72" s="1" t="s">
        <v>856</v>
      </c>
    </row>
  </sheetData>
  <sheetProtection/>
  <mergeCells count="73">
    <mergeCell ref="K19:M19"/>
    <mergeCell ref="B21:D21"/>
    <mergeCell ref="K20:M20"/>
    <mergeCell ref="K18:M18"/>
    <mergeCell ref="B23:D23"/>
    <mergeCell ref="B19:D19"/>
    <mergeCell ref="B20:D20"/>
    <mergeCell ref="B18:D18"/>
    <mergeCell ref="E17:G17"/>
    <mergeCell ref="B35:R35"/>
    <mergeCell ref="B34:R34"/>
    <mergeCell ref="B32:R32"/>
    <mergeCell ref="B31:R31"/>
    <mergeCell ref="B30:R30"/>
    <mergeCell ref="B29:R29"/>
    <mergeCell ref="B27:R27"/>
    <mergeCell ref="K17:M17"/>
    <mergeCell ref="E25:R25"/>
    <mergeCell ref="W16:X16"/>
    <mergeCell ref="AE16:AF16"/>
    <mergeCell ref="AL16:AM16"/>
    <mergeCell ref="B16:D16"/>
    <mergeCell ref="K16:M16"/>
    <mergeCell ref="B15:D15"/>
    <mergeCell ref="K15:M15"/>
    <mergeCell ref="D11:K11"/>
    <mergeCell ref="AA4:AB4"/>
    <mergeCell ref="D7:K7"/>
    <mergeCell ref="D8:K8"/>
    <mergeCell ref="D9:K9"/>
    <mergeCell ref="D10:K10"/>
    <mergeCell ref="AI4:AJ4"/>
    <mergeCell ref="AL4:AM4"/>
    <mergeCell ref="AP4:AQ4"/>
    <mergeCell ref="D6:K6"/>
    <mergeCell ref="A2:S2"/>
    <mergeCell ref="W2:AB2"/>
    <mergeCell ref="AE2:AJ2"/>
    <mergeCell ref="AL2:AQ2"/>
    <mergeCell ref="AL3:AM3"/>
    <mergeCell ref="AP3:AQ3"/>
    <mergeCell ref="B44:R44"/>
    <mergeCell ref="B45:R45"/>
    <mergeCell ref="M6:P6"/>
    <mergeCell ref="M7:P7"/>
    <mergeCell ref="W3:X3"/>
    <mergeCell ref="AA3:AB3"/>
    <mergeCell ref="AE3:AF3"/>
    <mergeCell ref="AI3:AJ3"/>
    <mergeCell ref="B14:D14"/>
    <mergeCell ref="B47:R47"/>
    <mergeCell ref="B48:R48"/>
    <mergeCell ref="B40:R40"/>
    <mergeCell ref="B39:R39"/>
    <mergeCell ref="B42:R42"/>
    <mergeCell ref="B43:R43"/>
    <mergeCell ref="B53:R53"/>
    <mergeCell ref="B54:R54"/>
    <mergeCell ref="B65:R65"/>
    <mergeCell ref="B55:R55"/>
    <mergeCell ref="B56:R56"/>
    <mergeCell ref="B58:R58"/>
    <mergeCell ref="B59:R59"/>
    <mergeCell ref="B70:R70"/>
    <mergeCell ref="B26:R26"/>
    <mergeCell ref="B66:R66"/>
    <mergeCell ref="B67:R67"/>
    <mergeCell ref="B69:R69"/>
    <mergeCell ref="B61:R61"/>
    <mergeCell ref="B62:R62"/>
    <mergeCell ref="B64:R64"/>
    <mergeCell ref="B50:R50"/>
    <mergeCell ref="B51:R51"/>
  </mergeCells>
  <printOptions/>
  <pageMargins left="0.7479166666666667" right="0.7479166666666667" top="0.75" bottom="0.75" header="0.5118055555555555" footer="0.5"/>
  <pageSetup horizontalDpi="300" verticalDpi="300" orientation="landscape" scale="90" r:id="rId4"/>
  <headerFooter alignWithMargins="0">
    <oddFooter>&amp;L&amp;F&amp;C&amp;A&amp;RPage &amp;P</oddFooter>
  </headerFooter>
  <rowBreaks count="1" manualBreakCount="1">
    <brk id="37" max="255" man="1"/>
  </rowBreaks>
  <colBreaks count="2" manualBreakCount="2">
    <brk id="19" max="65535" man="1"/>
    <brk id="52"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8"/>
  <dimension ref="A1:DU70"/>
  <sheetViews>
    <sheetView showGridLines="0" showZeros="0" zoomScale="75" zoomScaleNormal="75" zoomScaleSheetLayoutView="100" zoomScalePageLayoutView="0" workbookViewId="0" topLeftCell="D1">
      <selection activeCell="B50" sqref="B50:R50"/>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7.710937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5.421875" style="3" customWidth="1"/>
    <col min="23" max="23" width="8.7109375" style="3" customWidth="1"/>
    <col min="24" max="24" width="5.00390625" style="3" customWidth="1"/>
    <col min="25" max="26" width="0.85546875" style="3" customWidth="1"/>
    <col min="27" max="27" width="8.7109375" style="3" customWidth="1"/>
    <col min="28" max="28" width="5.7109375" style="3" customWidth="1"/>
    <col min="29" max="30" width="0.85546875" style="3" customWidth="1"/>
    <col min="31" max="31" width="8.140625" style="3" customWidth="1"/>
    <col min="32" max="32" width="4.7109375" style="3" customWidth="1"/>
    <col min="33" max="34" width="0.85546875" style="3" customWidth="1"/>
    <col min="35" max="35" width="8.140625" style="3" customWidth="1"/>
    <col min="36" max="36" width="5.140625" style="3" customWidth="1"/>
    <col min="37" max="37" width="0.85546875" style="3" customWidth="1"/>
    <col min="38" max="38" width="8.140625" style="3" customWidth="1"/>
    <col min="39" max="39" width="4.7109375" style="3" customWidth="1"/>
    <col min="40" max="41" width="0.9921875" style="3" customWidth="1"/>
    <col min="42" max="42" width="8.140625" style="3" customWidth="1"/>
    <col min="43" max="43" width="6.140625" style="3" customWidth="1"/>
    <col min="44" max="44" width="1.7109375" style="3" customWidth="1"/>
    <col min="45" max="45" width="33.71093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15.710937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5"/>
      <c r="AT1" s="6"/>
      <c r="DS1"/>
      <c r="DT1"/>
      <c r="DU1"/>
    </row>
    <row r="2" spans="1:44" ht="13.5" customHeight="1" thickBot="1">
      <c r="A2" s="420" t="str">
        <f>"WATER BOILING TEST - VERSION "&amp;version&amp;" - TEST #3"</f>
        <v>WATER BOILING TEST - VERSION 4.1.2 - TEST #3</v>
      </c>
      <c r="B2" s="420"/>
      <c r="C2" s="420"/>
      <c r="D2" s="420"/>
      <c r="E2" s="420"/>
      <c r="F2" s="420"/>
      <c r="G2" s="420"/>
      <c r="H2" s="420"/>
      <c r="I2" s="420"/>
      <c r="J2" s="420"/>
      <c r="K2" s="420"/>
      <c r="L2" s="420"/>
      <c r="M2" s="420"/>
      <c r="N2" s="420"/>
      <c r="O2" s="420"/>
      <c r="P2" s="420"/>
      <c r="Q2" s="420"/>
      <c r="R2" s="420"/>
      <c r="S2" s="420"/>
      <c r="T2" s="10"/>
      <c r="U2" s="352" t="str">
        <f>"TEST #3 "&amp;D7</f>
        <v>TEST #3 </v>
      </c>
      <c r="V2" s="11"/>
      <c r="W2" s="421" t="s">
        <v>0</v>
      </c>
      <c r="X2" s="421"/>
      <c r="Y2" s="421"/>
      <c r="Z2" s="421"/>
      <c r="AA2" s="421"/>
      <c r="AB2" s="421"/>
      <c r="AC2" s="353"/>
      <c r="AD2" s="12"/>
      <c r="AE2" s="421" t="s">
        <v>1</v>
      </c>
      <c r="AF2" s="421"/>
      <c r="AG2" s="421"/>
      <c r="AH2" s="421"/>
      <c r="AI2" s="421"/>
      <c r="AJ2" s="421"/>
      <c r="AK2" s="13"/>
      <c r="AL2" s="421" t="s">
        <v>2</v>
      </c>
      <c r="AM2" s="421"/>
      <c r="AN2" s="421"/>
      <c r="AO2" s="421"/>
      <c r="AP2" s="421"/>
      <c r="AQ2" s="421"/>
      <c r="AR2" s="14"/>
    </row>
    <row r="3" spans="1:44" ht="12.75" customHeight="1">
      <c r="A3" s="16"/>
      <c r="B3" s="17" t="s">
        <v>760</v>
      </c>
      <c r="C3" s="17"/>
      <c r="D3" s="17"/>
      <c r="E3" s="17"/>
      <c r="F3" s="17"/>
      <c r="G3" s="17"/>
      <c r="H3" s="17"/>
      <c r="I3" s="17"/>
      <c r="J3" s="17"/>
      <c r="K3" s="17"/>
      <c r="L3" s="17"/>
      <c r="M3" s="17"/>
      <c r="N3" s="17"/>
      <c r="O3" s="17"/>
      <c r="P3" s="17"/>
      <c r="Q3" s="17"/>
      <c r="R3" s="17"/>
      <c r="S3" s="18"/>
      <c r="T3" s="19"/>
      <c r="U3" s="20"/>
      <c r="V3" s="21"/>
      <c r="W3" s="412" t="s">
        <v>3</v>
      </c>
      <c r="X3" s="412"/>
      <c r="Y3" s="23"/>
      <c r="Z3" s="13"/>
      <c r="AA3" s="413" t="s">
        <v>4</v>
      </c>
      <c r="AB3" s="413"/>
      <c r="AC3" s="24"/>
      <c r="AD3" s="12"/>
      <c r="AE3" s="414" t="s">
        <v>3</v>
      </c>
      <c r="AF3" s="414"/>
      <c r="AG3" s="23"/>
      <c r="AH3" s="13"/>
      <c r="AI3" s="413" t="s">
        <v>4</v>
      </c>
      <c r="AJ3" s="413"/>
      <c r="AK3" s="12"/>
      <c r="AL3" s="422" t="s">
        <v>5</v>
      </c>
      <c r="AM3" s="422"/>
      <c r="AN3" s="23"/>
      <c r="AO3" s="13"/>
      <c r="AP3" s="409" t="s">
        <v>6</v>
      </c>
      <c r="AQ3" s="409"/>
      <c r="AR3" s="14"/>
    </row>
    <row r="4" spans="1:44" ht="12.75" customHeight="1">
      <c r="A4" s="25"/>
      <c r="B4" s="26" t="s">
        <v>761</v>
      </c>
      <c r="C4" s="26"/>
      <c r="D4" s="26"/>
      <c r="E4" s="26"/>
      <c r="F4" s="26"/>
      <c r="G4" s="26"/>
      <c r="H4" s="26"/>
      <c r="I4" s="26"/>
      <c r="J4" s="27"/>
      <c r="K4" s="27"/>
      <c r="L4" s="27"/>
      <c r="M4" s="27"/>
      <c r="N4" s="27"/>
      <c r="O4" s="27"/>
      <c r="P4" s="27"/>
      <c r="Q4" s="27"/>
      <c r="R4" s="27"/>
      <c r="S4" s="15"/>
      <c r="T4" s="28"/>
      <c r="U4" s="29"/>
      <c r="V4" s="30"/>
      <c r="W4" s="31"/>
      <c r="X4" s="31"/>
      <c r="Y4" s="32"/>
      <c r="Z4" s="33"/>
      <c r="AA4" s="416" t="s">
        <v>7</v>
      </c>
      <c r="AB4" s="416"/>
      <c r="AC4" s="24"/>
      <c r="AD4" s="12"/>
      <c r="AE4" s="31"/>
      <c r="AF4" s="31"/>
      <c r="AG4" s="32"/>
      <c r="AH4" s="33"/>
      <c r="AI4" s="416" t="s">
        <v>7</v>
      </c>
      <c r="AJ4" s="416"/>
      <c r="AK4" s="12"/>
      <c r="AL4" s="417" t="s">
        <v>7</v>
      </c>
      <c r="AM4" s="417"/>
      <c r="AN4" s="34"/>
      <c r="AO4" s="31"/>
      <c r="AP4" s="418" t="s">
        <v>8</v>
      </c>
      <c r="AQ4" s="418"/>
      <c r="AR4" s="14"/>
    </row>
    <row r="5" spans="1:44" ht="13.5" customHeight="1" thickBot="1">
      <c r="A5" s="25"/>
      <c r="B5" s="35" t="s">
        <v>9</v>
      </c>
      <c r="D5" s="2"/>
      <c r="E5" s="2"/>
      <c r="F5" s="2"/>
      <c r="G5" s="2"/>
      <c r="S5" s="15"/>
      <c r="T5" s="28"/>
      <c r="U5" s="36" t="s">
        <v>10</v>
      </c>
      <c r="V5" s="37" t="s">
        <v>11</v>
      </c>
      <c r="W5" s="38" t="s">
        <v>12</v>
      </c>
      <c r="X5" s="38" t="s">
        <v>13</v>
      </c>
      <c r="Y5" s="39"/>
      <c r="Z5" s="38"/>
      <c r="AA5" s="38" t="s">
        <v>12</v>
      </c>
      <c r="AB5" s="37" t="s">
        <v>13</v>
      </c>
      <c r="AC5" s="24"/>
      <c r="AD5" s="12"/>
      <c r="AE5" s="38" t="s">
        <v>12</v>
      </c>
      <c r="AF5" s="38" t="s">
        <v>13</v>
      </c>
      <c r="AG5" s="40"/>
      <c r="AH5" s="41"/>
      <c r="AI5" s="38" t="s">
        <v>12</v>
      </c>
      <c r="AJ5" s="37" t="s">
        <v>13</v>
      </c>
      <c r="AK5" s="12"/>
      <c r="AL5" s="38" t="s">
        <v>12</v>
      </c>
      <c r="AM5" s="38" t="s">
        <v>13</v>
      </c>
      <c r="AN5" s="40"/>
      <c r="AO5" s="41"/>
      <c r="AP5" s="38" t="s">
        <v>12</v>
      </c>
      <c r="AQ5" s="37" t="s">
        <v>13</v>
      </c>
      <c r="AR5" s="14"/>
    </row>
    <row r="6" spans="1:44" ht="15.75" customHeight="1">
      <c r="A6" s="25"/>
      <c r="B6" s="2" t="s">
        <v>14</v>
      </c>
      <c r="D6" s="419"/>
      <c r="E6" s="419"/>
      <c r="F6" s="419"/>
      <c r="G6" s="419"/>
      <c r="H6" s="419"/>
      <c r="I6" s="419"/>
      <c r="J6" s="419"/>
      <c r="K6" s="419"/>
      <c r="M6" s="410" t="s">
        <v>854</v>
      </c>
      <c r="N6" s="410"/>
      <c r="O6" s="410"/>
      <c r="P6" s="410"/>
      <c r="Q6" s="377"/>
      <c r="R6" s="377"/>
      <c r="S6" s="15"/>
      <c r="T6" s="28"/>
      <c r="U6" s="30" t="s">
        <v>727</v>
      </c>
      <c r="V6" s="24" t="s">
        <v>15</v>
      </c>
      <c r="W6" s="42"/>
      <c r="X6" s="43" t="s">
        <v>16</v>
      </c>
      <c r="Y6" s="44"/>
      <c r="Z6" s="43"/>
      <c r="AA6" s="42"/>
      <c r="AB6" s="45" t="s">
        <v>17</v>
      </c>
      <c r="AC6" s="45"/>
      <c r="AD6" s="12"/>
      <c r="AE6" s="42"/>
      <c r="AF6" s="43" t="s">
        <v>18</v>
      </c>
      <c r="AG6" s="46"/>
      <c r="AH6" s="13"/>
      <c r="AI6" s="42"/>
      <c r="AJ6" s="45" t="s">
        <v>19</v>
      </c>
      <c r="AK6" s="12"/>
      <c r="AL6" s="42"/>
      <c r="AM6" s="43" t="s">
        <v>20</v>
      </c>
      <c r="AN6" s="46"/>
      <c r="AO6" s="13"/>
      <c r="AP6" s="42"/>
      <c r="AQ6" s="45" t="s">
        <v>21</v>
      </c>
      <c r="AR6" s="14"/>
    </row>
    <row r="7" spans="1:44" ht="15.75" customHeight="1">
      <c r="A7" s="25"/>
      <c r="B7" s="2" t="s">
        <v>30</v>
      </c>
      <c r="D7" s="419"/>
      <c r="E7" s="419"/>
      <c r="F7" s="419"/>
      <c r="G7" s="419"/>
      <c r="H7" s="419"/>
      <c r="I7" s="419"/>
      <c r="J7" s="419"/>
      <c r="K7" s="419"/>
      <c r="M7" s="411" t="s">
        <v>855</v>
      </c>
      <c r="N7" s="411"/>
      <c r="O7" s="411"/>
      <c r="P7" s="411"/>
      <c r="Q7" s="377"/>
      <c r="R7" s="377"/>
      <c r="S7" s="15"/>
      <c r="T7" s="28"/>
      <c r="U7" s="30" t="s">
        <v>22</v>
      </c>
      <c r="V7" s="24" t="s">
        <v>23</v>
      </c>
      <c r="W7" s="47"/>
      <c r="X7" s="43" t="s">
        <v>24</v>
      </c>
      <c r="Y7" s="44"/>
      <c r="Z7" s="43"/>
      <c r="AA7" s="47"/>
      <c r="AB7" s="45" t="s">
        <v>25</v>
      </c>
      <c r="AC7" s="45"/>
      <c r="AD7" s="12"/>
      <c r="AE7" s="47"/>
      <c r="AF7" s="43" t="s">
        <v>26</v>
      </c>
      <c r="AG7" s="46"/>
      <c r="AH7" s="13"/>
      <c r="AI7" s="47"/>
      <c r="AJ7" s="45" t="s">
        <v>27</v>
      </c>
      <c r="AK7" s="12"/>
      <c r="AL7" s="47"/>
      <c r="AM7" s="43" t="s">
        <v>28</v>
      </c>
      <c r="AN7" s="46"/>
      <c r="AO7" s="13"/>
      <c r="AP7" s="47"/>
      <c r="AQ7" s="45" t="s">
        <v>29</v>
      </c>
      <c r="AR7" s="14"/>
    </row>
    <row r="8" spans="1:44" ht="15.75" customHeight="1">
      <c r="A8" s="25"/>
      <c r="B8" s="2" t="s">
        <v>39</v>
      </c>
      <c r="D8" s="424"/>
      <c r="E8" s="419"/>
      <c r="F8" s="419"/>
      <c r="G8" s="419"/>
      <c r="H8" s="419"/>
      <c r="I8" s="419"/>
      <c r="J8" s="419"/>
      <c r="K8" s="419"/>
      <c r="M8" s="377"/>
      <c r="N8" s="377"/>
      <c r="O8" s="377"/>
      <c r="P8" s="377"/>
      <c r="Q8" s="377"/>
      <c r="R8" s="377"/>
      <c r="S8" s="15"/>
      <c r="T8" s="28"/>
      <c r="U8" s="30" t="s">
        <v>31</v>
      </c>
      <c r="V8" s="24" t="s">
        <v>32</v>
      </c>
      <c r="W8" s="48"/>
      <c r="X8" s="49" t="s">
        <v>33</v>
      </c>
      <c r="Y8" s="50"/>
      <c r="Z8" s="49"/>
      <c r="AA8" s="48"/>
      <c r="AB8" s="51" t="s">
        <v>34</v>
      </c>
      <c r="AC8" s="51"/>
      <c r="AD8" s="52"/>
      <c r="AE8" s="48"/>
      <c r="AF8" s="49" t="s">
        <v>35</v>
      </c>
      <c r="AG8" s="53"/>
      <c r="AH8" s="54"/>
      <c r="AI8" s="48"/>
      <c r="AJ8" s="45" t="s">
        <v>36</v>
      </c>
      <c r="AK8" s="12"/>
      <c r="AL8" s="47"/>
      <c r="AM8" s="43" t="s">
        <v>37</v>
      </c>
      <c r="AN8" s="46"/>
      <c r="AO8" s="13"/>
      <c r="AP8" s="48"/>
      <c r="AQ8" s="45" t="s">
        <v>38</v>
      </c>
      <c r="AR8" s="14"/>
    </row>
    <row r="9" spans="1:44" ht="15.75" customHeight="1">
      <c r="A9" s="25"/>
      <c r="B9" s="2" t="s">
        <v>53</v>
      </c>
      <c r="D9" s="425">
        <f>'General Information'!C6</f>
        <v>0</v>
      </c>
      <c r="E9" s="425"/>
      <c r="F9" s="425"/>
      <c r="G9" s="425"/>
      <c r="H9" s="425"/>
      <c r="I9" s="425"/>
      <c r="J9" s="425"/>
      <c r="K9" s="425"/>
      <c r="M9" s="377"/>
      <c r="N9" s="377"/>
      <c r="O9" s="377"/>
      <c r="P9" s="377"/>
      <c r="Q9" s="377"/>
      <c r="R9" s="377"/>
      <c r="S9" s="15"/>
      <c r="T9" s="28"/>
      <c r="U9" s="55" t="s">
        <v>40</v>
      </c>
      <c r="V9" s="24" t="s">
        <v>32</v>
      </c>
      <c r="W9" s="48"/>
      <c r="X9" s="49" t="s">
        <v>193</v>
      </c>
      <c r="Y9" s="50"/>
      <c r="Z9" s="49"/>
      <c r="AA9" s="48"/>
      <c r="AB9" s="51" t="s">
        <v>41</v>
      </c>
      <c r="AC9" s="51"/>
      <c r="AD9" s="52"/>
      <c r="AE9" s="48"/>
      <c r="AF9" s="49" t="s">
        <v>42</v>
      </c>
      <c r="AG9" s="53"/>
      <c r="AH9" s="54"/>
      <c r="AI9" s="48"/>
      <c r="AJ9" s="45" t="s">
        <v>43</v>
      </c>
      <c r="AK9" s="12"/>
      <c r="AL9" s="47"/>
      <c r="AM9" s="56" t="s">
        <v>44</v>
      </c>
      <c r="AN9" s="57"/>
      <c r="AO9" s="58"/>
      <c r="AP9" s="48"/>
      <c r="AQ9" s="59" t="s">
        <v>45</v>
      </c>
      <c r="AR9" s="14"/>
    </row>
    <row r="10" spans="1:44" ht="15.75" customHeight="1">
      <c r="A10" s="25"/>
      <c r="B10" s="2" t="s">
        <v>46</v>
      </c>
      <c r="D10" s="426">
        <f>'General Information'!C8</f>
        <v>0</v>
      </c>
      <c r="E10" s="426"/>
      <c r="F10" s="426"/>
      <c r="G10" s="426"/>
      <c r="H10" s="426"/>
      <c r="I10" s="426"/>
      <c r="J10" s="426"/>
      <c r="K10" s="426"/>
      <c r="S10" s="15"/>
      <c r="T10" s="28"/>
      <c r="U10" s="55" t="s">
        <v>47</v>
      </c>
      <c r="V10" s="24" t="s">
        <v>32</v>
      </c>
      <c r="W10" s="48"/>
      <c r="X10" s="49" t="s">
        <v>194</v>
      </c>
      <c r="Y10" s="50"/>
      <c r="Z10" s="49"/>
      <c r="AA10" s="48"/>
      <c r="AB10" s="51" t="s">
        <v>48</v>
      </c>
      <c r="AC10" s="51"/>
      <c r="AD10" s="52"/>
      <c r="AE10" s="48"/>
      <c r="AF10" s="49" t="s">
        <v>49</v>
      </c>
      <c r="AG10" s="53"/>
      <c r="AH10" s="54"/>
      <c r="AI10" s="48"/>
      <c r="AJ10" s="45" t="s">
        <v>50</v>
      </c>
      <c r="AK10" s="12"/>
      <c r="AL10" s="47"/>
      <c r="AM10" s="56" t="s">
        <v>51</v>
      </c>
      <c r="AN10" s="57"/>
      <c r="AO10" s="58"/>
      <c r="AP10" s="48"/>
      <c r="AQ10" s="59" t="s">
        <v>52</v>
      </c>
      <c r="AR10" s="14"/>
    </row>
    <row r="11" spans="1:44" ht="15.75" customHeight="1">
      <c r="A11" s="25"/>
      <c r="B11" s="2" t="s">
        <v>61</v>
      </c>
      <c r="D11" s="423">
        <f>'General Information'!J3</f>
        <v>0</v>
      </c>
      <c r="E11" s="423"/>
      <c r="F11" s="423"/>
      <c r="G11" s="423"/>
      <c r="H11" s="423"/>
      <c r="I11" s="423"/>
      <c r="J11" s="423"/>
      <c r="K11" s="423"/>
      <c r="S11" s="15"/>
      <c r="T11" s="28"/>
      <c r="U11" s="55" t="s">
        <v>54</v>
      </c>
      <c r="V11" s="24" t="s">
        <v>32</v>
      </c>
      <c r="W11" s="48"/>
      <c r="X11" s="49" t="s">
        <v>55</v>
      </c>
      <c r="Y11" s="50"/>
      <c r="Z11" s="49"/>
      <c r="AA11" s="48"/>
      <c r="AB11" s="51" t="s">
        <v>56</v>
      </c>
      <c r="AC11" s="51"/>
      <c r="AD11" s="52"/>
      <c r="AE11" s="48"/>
      <c r="AF11" s="49" t="s">
        <v>57</v>
      </c>
      <c r="AG11" s="53"/>
      <c r="AH11" s="54"/>
      <c r="AI11" s="48"/>
      <c r="AJ11" s="45" t="s">
        <v>58</v>
      </c>
      <c r="AK11" s="12"/>
      <c r="AL11" s="47"/>
      <c r="AM11" s="56" t="s">
        <v>59</v>
      </c>
      <c r="AN11" s="57"/>
      <c r="AO11" s="58"/>
      <c r="AP11" s="48"/>
      <c r="AQ11" s="59" t="s">
        <v>60</v>
      </c>
      <c r="AR11" s="14"/>
    </row>
    <row r="12" spans="1:44" ht="15.75" customHeight="1">
      <c r="A12" s="25"/>
      <c r="B12" s="2"/>
      <c r="D12" s="60"/>
      <c r="E12" s="60"/>
      <c r="F12" s="60"/>
      <c r="G12" s="60"/>
      <c r="H12" s="60"/>
      <c r="I12" s="60"/>
      <c r="J12" s="60"/>
      <c r="S12" s="15"/>
      <c r="T12" s="28"/>
      <c r="U12" s="30" t="s">
        <v>62</v>
      </c>
      <c r="V12" s="24" t="s">
        <v>23</v>
      </c>
      <c r="W12" s="47"/>
      <c r="X12" s="43" t="s">
        <v>63</v>
      </c>
      <c r="Y12" s="44"/>
      <c r="Z12" s="43"/>
      <c r="AA12" s="47"/>
      <c r="AB12" s="45" t="s">
        <v>64</v>
      </c>
      <c r="AC12" s="45"/>
      <c r="AD12" s="12"/>
      <c r="AE12" s="47"/>
      <c r="AF12" s="43" t="s">
        <v>65</v>
      </c>
      <c r="AG12" s="46"/>
      <c r="AH12" s="13"/>
      <c r="AI12" s="47"/>
      <c r="AJ12" s="45" t="s">
        <v>66</v>
      </c>
      <c r="AK12" s="12"/>
      <c r="AL12" s="47"/>
      <c r="AM12" s="56" t="s">
        <v>67</v>
      </c>
      <c r="AN12" s="57"/>
      <c r="AO12" s="61"/>
      <c r="AP12" s="47"/>
      <c r="AQ12" s="59" t="s">
        <v>68</v>
      </c>
      <c r="AR12" s="14"/>
    </row>
    <row r="13" spans="1:44" ht="15.75" customHeight="1" thickBot="1">
      <c r="A13" s="25"/>
      <c r="B13" s="62" t="s">
        <v>83</v>
      </c>
      <c r="C13" s="63"/>
      <c r="D13" s="64"/>
      <c r="E13" s="65"/>
      <c r="F13" s="64"/>
      <c r="G13" s="64"/>
      <c r="H13" s="64"/>
      <c r="I13" s="64"/>
      <c r="J13" s="64"/>
      <c r="K13" s="66"/>
      <c r="L13" s="66"/>
      <c r="M13" s="66"/>
      <c r="N13" s="66"/>
      <c r="O13" s="66"/>
      <c r="P13" s="66"/>
      <c r="Q13" s="66"/>
      <c r="R13" s="66"/>
      <c r="S13" s="15"/>
      <c r="T13" s="28"/>
      <c r="U13" s="55" t="s">
        <v>69</v>
      </c>
      <c r="V13" s="24" t="s">
        <v>23</v>
      </c>
      <c r="W13" s="47"/>
      <c r="X13" s="43" t="s">
        <v>70</v>
      </c>
      <c r="Y13" s="44"/>
      <c r="Z13" s="43"/>
      <c r="AA13" s="47"/>
      <c r="AB13" s="45" t="s">
        <v>71</v>
      </c>
      <c r="AC13" s="45"/>
      <c r="AD13" s="12"/>
      <c r="AE13" s="47"/>
      <c r="AF13" s="43" t="s">
        <v>72</v>
      </c>
      <c r="AG13" s="46"/>
      <c r="AH13" s="13"/>
      <c r="AI13" s="47"/>
      <c r="AJ13" s="45" t="s">
        <v>73</v>
      </c>
      <c r="AK13" s="12"/>
      <c r="AL13" s="47"/>
      <c r="AM13" s="56" t="s">
        <v>74</v>
      </c>
      <c r="AN13" s="57"/>
      <c r="AO13" s="58"/>
      <c r="AP13" s="47"/>
      <c r="AQ13" s="59" t="s">
        <v>75</v>
      </c>
      <c r="AR13" s="14"/>
    </row>
    <row r="14" spans="1:44" ht="15.75" customHeight="1">
      <c r="A14" s="25"/>
      <c r="B14" s="415" t="s">
        <v>91</v>
      </c>
      <c r="C14" s="415"/>
      <c r="D14" s="415"/>
      <c r="E14" s="67" t="s">
        <v>92</v>
      </c>
      <c r="F14" s="67"/>
      <c r="G14" s="67" t="s">
        <v>93</v>
      </c>
      <c r="H14" s="68"/>
      <c r="I14" s="69" t="s">
        <v>13</v>
      </c>
      <c r="J14" s="68"/>
      <c r="K14" s="68" t="s">
        <v>91</v>
      </c>
      <c r="L14" s="68"/>
      <c r="M14" s="68"/>
      <c r="N14" s="67" t="s">
        <v>92</v>
      </c>
      <c r="O14" s="67"/>
      <c r="P14" s="68" t="s">
        <v>93</v>
      </c>
      <c r="Q14" s="68"/>
      <c r="R14" s="69" t="s">
        <v>13</v>
      </c>
      <c r="S14" s="15"/>
      <c r="T14" s="28"/>
      <c r="U14" s="55" t="s">
        <v>76</v>
      </c>
      <c r="V14" s="24" t="s">
        <v>23</v>
      </c>
      <c r="W14" s="47"/>
      <c r="X14" s="43" t="s">
        <v>77</v>
      </c>
      <c r="Y14" s="44"/>
      <c r="Z14" s="43"/>
      <c r="AA14" s="47"/>
      <c r="AB14" s="45" t="s">
        <v>78</v>
      </c>
      <c r="AC14" s="45"/>
      <c r="AD14" s="12"/>
      <c r="AE14" s="47"/>
      <c r="AF14" s="43" t="s">
        <v>79</v>
      </c>
      <c r="AG14" s="46"/>
      <c r="AH14" s="13"/>
      <c r="AI14" s="47"/>
      <c r="AJ14" s="45" t="s">
        <v>80</v>
      </c>
      <c r="AK14" s="12"/>
      <c r="AL14" s="47"/>
      <c r="AM14" s="56" t="s">
        <v>81</v>
      </c>
      <c r="AN14" s="57"/>
      <c r="AO14" s="58"/>
      <c r="AP14" s="47"/>
      <c r="AQ14" s="59" t="s">
        <v>82</v>
      </c>
      <c r="AR14" s="14"/>
    </row>
    <row r="15" spans="1:44" ht="15.75" customHeight="1">
      <c r="A15" s="25"/>
      <c r="B15" s="428" t="s">
        <v>711</v>
      </c>
      <c r="C15" s="428"/>
      <c r="D15" s="428"/>
      <c r="E15" s="73">
        <v>25</v>
      </c>
      <c r="F15" s="74"/>
      <c r="G15" s="2" t="s">
        <v>32</v>
      </c>
      <c r="J15" s="75"/>
      <c r="K15" s="428" t="s">
        <v>96</v>
      </c>
      <c r="L15" s="428"/>
      <c r="M15" s="428"/>
      <c r="N15" s="265"/>
      <c r="O15" s="74"/>
      <c r="P15" s="22" t="s">
        <v>23</v>
      </c>
      <c r="R15" s="43" t="s">
        <v>97</v>
      </c>
      <c r="S15" s="15"/>
      <c r="T15" s="28"/>
      <c r="U15" s="55" t="s">
        <v>84</v>
      </c>
      <c r="V15" s="24" t="s">
        <v>23</v>
      </c>
      <c r="W15" s="47"/>
      <c r="X15" s="43" t="s">
        <v>85</v>
      </c>
      <c r="Y15" s="44"/>
      <c r="Z15" s="43"/>
      <c r="AA15" s="47"/>
      <c r="AB15" s="45" t="s">
        <v>86</v>
      </c>
      <c r="AC15" s="45"/>
      <c r="AD15" s="12"/>
      <c r="AE15" s="47"/>
      <c r="AF15" s="43" t="s">
        <v>87</v>
      </c>
      <c r="AG15" s="46"/>
      <c r="AH15" s="13"/>
      <c r="AI15" s="47"/>
      <c r="AJ15" s="45" t="s">
        <v>88</v>
      </c>
      <c r="AK15" s="12"/>
      <c r="AL15" s="47"/>
      <c r="AM15" s="56" t="s">
        <v>89</v>
      </c>
      <c r="AN15" s="57"/>
      <c r="AO15" s="58"/>
      <c r="AP15" s="47"/>
      <c r="AQ15" s="59" t="s">
        <v>90</v>
      </c>
      <c r="AR15" s="14"/>
    </row>
    <row r="16" spans="1:44" ht="15.75" customHeight="1">
      <c r="A16" s="25"/>
      <c r="B16" s="428" t="s">
        <v>733</v>
      </c>
      <c r="C16" s="428"/>
      <c r="D16" s="428"/>
      <c r="E16" s="74">
        <v>1</v>
      </c>
      <c r="F16" s="74"/>
      <c r="G16" s="2"/>
      <c r="J16" s="75"/>
      <c r="K16" s="428" t="s">
        <v>102</v>
      </c>
      <c r="L16" s="428"/>
      <c r="M16" s="428"/>
      <c r="N16" s="265"/>
      <c r="O16" s="74"/>
      <c r="P16" s="22" t="s">
        <v>23</v>
      </c>
      <c r="R16" s="43" t="s">
        <v>103</v>
      </c>
      <c r="S16" s="15"/>
      <c r="T16" s="28"/>
      <c r="U16" s="55" t="s">
        <v>94</v>
      </c>
      <c r="V16" s="24" t="s">
        <v>95</v>
      </c>
      <c r="W16" s="427"/>
      <c r="X16" s="427"/>
      <c r="Y16" s="70"/>
      <c r="Z16" s="71"/>
      <c r="AA16" s="72"/>
      <c r="AB16" s="45"/>
      <c r="AC16" s="45"/>
      <c r="AD16" s="12"/>
      <c r="AE16" s="427"/>
      <c r="AF16" s="427"/>
      <c r="AG16" s="46"/>
      <c r="AH16" s="13"/>
      <c r="AI16" s="72"/>
      <c r="AJ16" s="21"/>
      <c r="AK16" s="12"/>
      <c r="AL16" s="427"/>
      <c r="AM16" s="427"/>
      <c r="AN16" s="46"/>
      <c r="AO16" s="13"/>
      <c r="AP16" s="13"/>
      <c r="AQ16" s="21"/>
      <c r="AR16" s="14"/>
    </row>
    <row r="17" spans="1:44" ht="15.75" customHeight="1">
      <c r="A17" s="25"/>
      <c r="B17" s="1" t="s">
        <v>785</v>
      </c>
      <c r="E17" s="429"/>
      <c r="F17" s="429"/>
      <c r="G17" s="429"/>
      <c r="J17" s="75"/>
      <c r="K17" s="428" t="s">
        <v>107</v>
      </c>
      <c r="L17" s="428"/>
      <c r="M17" s="428"/>
      <c r="N17" s="265"/>
      <c r="O17" s="74"/>
      <c r="P17" s="22" t="s">
        <v>23</v>
      </c>
      <c r="R17" s="43" t="s">
        <v>108</v>
      </c>
      <c r="S17" s="15"/>
      <c r="T17" s="28"/>
      <c r="U17" s="30" t="s">
        <v>98</v>
      </c>
      <c r="V17" s="24" t="s">
        <v>23</v>
      </c>
      <c r="W17" s="76"/>
      <c r="X17" s="2"/>
      <c r="Y17" s="77"/>
      <c r="Z17" s="2"/>
      <c r="AA17" s="47"/>
      <c r="AB17" s="45" t="s">
        <v>99</v>
      </c>
      <c r="AC17" s="45"/>
      <c r="AD17" s="12"/>
      <c r="AE17" s="76"/>
      <c r="AF17" s="43"/>
      <c r="AG17" s="46"/>
      <c r="AH17" s="13"/>
      <c r="AI17" s="78">
        <f>AA17</f>
        <v>0</v>
      </c>
      <c r="AJ17" s="45" t="s">
        <v>100</v>
      </c>
      <c r="AK17" s="12"/>
      <c r="AL17" s="2"/>
      <c r="AM17" s="43"/>
      <c r="AN17" s="46"/>
      <c r="AO17" s="13"/>
      <c r="AP17" s="47"/>
      <c r="AQ17" s="45" t="s">
        <v>101</v>
      </c>
      <c r="AR17" s="14"/>
    </row>
    <row r="18" spans="1:44" ht="15.75" customHeight="1">
      <c r="A18" s="25"/>
      <c r="B18" s="428" t="s">
        <v>829</v>
      </c>
      <c r="C18" s="428"/>
      <c r="D18" s="428"/>
      <c r="E18" s="333"/>
      <c r="F18" s="90"/>
      <c r="G18" s="2" t="s">
        <v>116</v>
      </c>
      <c r="I18" s="22" t="s">
        <v>117</v>
      </c>
      <c r="J18" s="75"/>
      <c r="K18" s="428" t="s">
        <v>111</v>
      </c>
      <c r="L18" s="428"/>
      <c r="M18" s="428"/>
      <c r="N18" s="265"/>
      <c r="O18" s="74"/>
      <c r="P18" s="22" t="s">
        <v>23</v>
      </c>
      <c r="R18" s="43" t="s">
        <v>112</v>
      </c>
      <c r="S18" s="15"/>
      <c r="T18" s="28"/>
      <c r="U18" s="30" t="s">
        <v>805</v>
      </c>
      <c r="V18" s="24" t="s">
        <v>795</v>
      </c>
      <c r="W18" s="76"/>
      <c r="X18" s="2"/>
      <c r="Y18" s="77"/>
      <c r="Z18" s="2"/>
      <c r="AA18" s="372"/>
      <c r="AB18" s="45" t="s">
        <v>807</v>
      </c>
      <c r="AC18" s="45"/>
      <c r="AD18" s="12"/>
      <c r="AE18" s="76"/>
      <c r="AF18" s="43"/>
      <c r="AG18" s="46"/>
      <c r="AH18" s="13"/>
      <c r="AI18" s="372"/>
      <c r="AJ18" s="45" t="s">
        <v>810</v>
      </c>
      <c r="AK18" s="12"/>
      <c r="AL18" s="2"/>
      <c r="AM18" s="43"/>
      <c r="AN18" s="46"/>
      <c r="AO18" s="13"/>
      <c r="AP18" s="372"/>
      <c r="AQ18" s="45" t="s">
        <v>813</v>
      </c>
      <c r="AR18" s="14"/>
    </row>
    <row r="19" spans="1:44" ht="15.75" customHeight="1">
      <c r="A19" s="25"/>
      <c r="B19" s="428" t="s">
        <v>104</v>
      </c>
      <c r="C19" s="428"/>
      <c r="D19" s="428"/>
      <c r="E19" s="86">
        <f>'General Information'!L21</f>
        <v>0</v>
      </c>
      <c r="F19" s="87"/>
      <c r="G19" s="2" t="s">
        <v>105</v>
      </c>
      <c r="I19" s="22" t="s">
        <v>106</v>
      </c>
      <c r="J19" s="75"/>
      <c r="K19" s="428" t="s">
        <v>118</v>
      </c>
      <c r="L19" s="428"/>
      <c r="M19" s="428"/>
      <c r="N19" s="265"/>
      <c r="O19" s="74"/>
      <c r="P19" s="22" t="s">
        <v>23</v>
      </c>
      <c r="R19" s="43" t="s">
        <v>119</v>
      </c>
      <c r="S19" s="15"/>
      <c r="T19" s="10"/>
      <c r="U19" s="346" t="s">
        <v>806</v>
      </c>
      <c r="V19" s="24" t="s">
        <v>795</v>
      </c>
      <c r="W19" s="76"/>
      <c r="X19" s="2"/>
      <c r="Y19" s="77"/>
      <c r="Z19" s="2">
        <v>10</v>
      </c>
      <c r="AA19" s="372"/>
      <c r="AB19" s="45" t="s">
        <v>808</v>
      </c>
      <c r="AC19" s="45"/>
      <c r="AD19" s="12"/>
      <c r="AE19" s="76"/>
      <c r="AF19" s="43"/>
      <c r="AG19" s="46"/>
      <c r="AH19" s="13"/>
      <c r="AI19" s="372"/>
      <c r="AJ19" s="45" t="s">
        <v>811</v>
      </c>
      <c r="AK19" s="12"/>
      <c r="AL19" s="2"/>
      <c r="AM19" s="43"/>
      <c r="AN19" s="46"/>
      <c r="AO19" s="13"/>
      <c r="AP19" s="372"/>
      <c r="AQ19" s="45" t="s">
        <v>814</v>
      </c>
      <c r="AR19" s="14"/>
    </row>
    <row r="20" spans="1:44" ht="16.5" customHeight="1" thickBot="1">
      <c r="A20" s="25"/>
      <c r="B20" s="428" t="s">
        <v>109</v>
      </c>
      <c r="C20" s="428"/>
      <c r="D20" s="428"/>
      <c r="E20" s="88">
        <f>'General Information'!L22</f>
        <v>0</v>
      </c>
      <c r="F20" s="87"/>
      <c r="G20" s="2" t="s">
        <v>105</v>
      </c>
      <c r="I20" s="22" t="s">
        <v>110</v>
      </c>
      <c r="J20" s="75"/>
      <c r="K20" s="428" t="s">
        <v>122</v>
      </c>
      <c r="L20" s="428"/>
      <c r="M20" s="428"/>
      <c r="N20" s="264">
        <f>'General Information'!C18</f>
        <v>100</v>
      </c>
      <c r="O20" s="74"/>
      <c r="P20" s="22" t="s">
        <v>32</v>
      </c>
      <c r="R20" s="43" t="s">
        <v>123</v>
      </c>
      <c r="S20" s="15"/>
      <c r="T20" s="10"/>
      <c r="U20" s="345" t="s">
        <v>803</v>
      </c>
      <c r="V20" s="37" t="s">
        <v>804</v>
      </c>
      <c r="W20" s="79"/>
      <c r="X20" s="80"/>
      <c r="Y20" s="81"/>
      <c r="Z20" s="80"/>
      <c r="AA20" s="373"/>
      <c r="AB20" s="85" t="s">
        <v>809</v>
      </c>
      <c r="AC20" s="45"/>
      <c r="AD20" s="82"/>
      <c r="AE20" s="79"/>
      <c r="AF20" s="80"/>
      <c r="AG20" s="83"/>
      <c r="AH20" s="84"/>
      <c r="AI20" s="373"/>
      <c r="AJ20" s="85" t="s">
        <v>812</v>
      </c>
      <c r="AK20" s="82"/>
      <c r="AL20" s="79"/>
      <c r="AM20" s="80"/>
      <c r="AN20" s="83"/>
      <c r="AO20" s="84"/>
      <c r="AP20" s="373"/>
      <c r="AQ20" s="85" t="s">
        <v>815</v>
      </c>
      <c r="AR20" s="14"/>
    </row>
    <row r="21" spans="1:44" ht="13.5" thickBot="1">
      <c r="A21" s="25"/>
      <c r="B21" s="432" t="s">
        <v>797</v>
      </c>
      <c r="C21" s="432"/>
      <c r="D21" s="432"/>
      <c r="F21" s="90"/>
      <c r="I21" s="1"/>
      <c r="J21" s="75"/>
      <c r="K21" s="99" t="s">
        <v>794</v>
      </c>
      <c r="L21" s="43"/>
      <c r="M21" s="43"/>
      <c r="N21" s="265"/>
      <c r="O21" s="43"/>
      <c r="P21" s="43" t="s">
        <v>795</v>
      </c>
      <c r="Q21" s="43"/>
      <c r="R21" s="43" t="s">
        <v>800</v>
      </c>
      <c r="S21" s="15"/>
      <c r="T21" s="1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14"/>
    </row>
    <row r="22" spans="1:44" ht="12.75" customHeight="1">
      <c r="A22" s="25"/>
      <c r="B22" s="344" t="s">
        <v>796</v>
      </c>
      <c r="C22" s="335"/>
      <c r="D22" s="335"/>
      <c r="E22" s="86">
        <f>E20*(1-E18)-(E18*((N20-E15)*4.2+2260))</f>
        <v>0</v>
      </c>
      <c r="F22" s="90"/>
      <c r="G22" s="2" t="s">
        <v>105</v>
      </c>
      <c r="I22" s="22" t="s">
        <v>121</v>
      </c>
      <c r="J22" s="75"/>
      <c r="K22" s="99"/>
      <c r="L22" s="43"/>
      <c r="M22" s="338" t="s">
        <v>798</v>
      </c>
      <c r="N22" s="265"/>
      <c r="O22" s="43"/>
      <c r="P22" s="43" t="s">
        <v>795</v>
      </c>
      <c r="Q22" s="43"/>
      <c r="R22" s="43" t="s">
        <v>801</v>
      </c>
      <c r="S22" s="15"/>
      <c r="T22" s="10"/>
      <c r="U22" s="13"/>
      <c r="V22" s="13"/>
      <c r="W22" s="89" t="s">
        <v>113</v>
      </c>
      <c r="X22" s="13"/>
      <c r="Y22" s="23"/>
      <c r="Z22" s="13"/>
      <c r="AA22" s="89" t="s">
        <v>114</v>
      </c>
      <c r="AB22" s="13"/>
      <c r="AC22" s="13"/>
      <c r="AD22" s="21"/>
      <c r="AE22" s="126" t="s">
        <v>115</v>
      </c>
      <c r="AF22" s="13"/>
      <c r="AG22" s="13"/>
      <c r="AH22" s="13"/>
      <c r="AI22" s="13"/>
      <c r="AJ22" s="13"/>
      <c r="AK22" s="13"/>
      <c r="AL22" s="13"/>
      <c r="AM22" s="13"/>
      <c r="AN22" s="13"/>
      <c r="AO22" s="13"/>
      <c r="AP22" s="13"/>
      <c r="AQ22" s="13"/>
      <c r="AR22" s="14"/>
    </row>
    <row r="23" spans="1:44" ht="14.25" customHeight="1">
      <c r="A23" s="25"/>
      <c r="B23" s="433" t="s">
        <v>747</v>
      </c>
      <c r="C23" s="433"/>
      <c r="D23" s="433"/>
      <c r="E23" s="86">
        <f>'General Information'!L11</f>
        <v>0</v>
      </c>
      <c r="F23" s="2"/>
      <c r="G23" s="2" t="s">
        <v>105</v>
      </c>
      <c r="J23" s="75"/>
      <c r="K23" s="99"/>
      <c r="L23" s="43"/>
      <c r="M23" s="338" t="s">
        <v>799</v>
      </c>
      <c r="N23" s="265"/>
      <c r="O23" s="43"/>
      <c r="P23" s="43" t="s">
        <v>804</v>
      </c>
      <c r="Q23" s="43"/>
      <c r="R23" s="43" t="s">
        <v>802</v>
      </c>
      <c r="S23" s="15"/>
      <c r="T23" s="10"/>
      <c r="U23" s="91" t="s">
        <v>120</v>
      </c>
      <c r="V23" s="92" t="s">
        <v>11</v>
      </c>
      <c r="W23" s="92" t="s">
        <v>12</v>
      </c>
      <c r="X23" s="92" t="s">
        <v>13</v>
      </c>
      <c r="Y23" s="46"/>
      <c r="Z23" s="13"/>
      <c r="AA23" s="92" t="s">
        <v>12</v>
      </c>
      <c r="AB23" s="92" t="s">
        <v>13</v>
      </c>
      <c r="AC23" s="92"/>
      <c r="AD23" s="21"/>
      <c r="AE23" s="93" t="s">
        <v>120</v>
      </c>
      <c r="AF23" s="13"/>
      <c r="AG23" s="13"/>
      <c r="AH23" s="13"/>
      <c r="AI23" s="13"/>
      <c r="AJ23" s="13"/>
      <c r="AK23" s="13"/>
      <c r="AL23" s="13"/>
      <c r="AM23" s="92" t="s">
        <v>11</v>
      </c>
      <c r="AN23" s="13"/>
      <c r="AO23" s="13"/>
      <c r="AP23" s="92" t="s">
        <v>12</v>
      </c>
      <c r="AQ23" s="92" t="s">
        <v>13</v>
      </c>
      <c r="AR23" s="14"/>
    </row>
    <row r="24" spans="1:44" ht="15.75" customHeight="1">
      <c r="A24" s="25"/>
      <c r="D24" s="100"/>
      <c r="E24" s="101"/>
      <c r="F24" s="2"/>
      <c r="G24" s="2"/>
      <c r="K24" s="99"/>
      <c r="L24" s="43"/>
      <c r="M24" s="43"/>
      <c r="N24" s="43"/>
      <c r="O24" s="43"/>
      <c r="P24" s="43"/>
      <c r="Q24" s="43"/>
      <c r="R24" s="43"/>
      <c r="S24" s="15"/>
      <c r="T24" s="10"/>
      <c r="U24" s="94" t="s">
        <v>124</v>
      </c>
      <c r="V24" s="95" t="s">
        <v>23</v>
      </c>
      <c r="W24" s="96">
        <f>W7-AA7</f>
        <v>0</v>
      </c>
      <c r="X24" s="56" t="s">
        <v>125</v>
      </c>
      <c r="Y24" s="57"/>
      <c r="Z24" s="61"/>
      <c r="AA24" s="96">
        <f>AE7-AI7</f>
        <v>0</v>
      </c>
      <c r="AB24" s="56" t="s">
        <v>126</v>
      </c>
      <c r="AC24" s="56"/>
      <c r="AD24" s="21"/>
      <c r="AE24" s="98" t="s">
        <v>127</v>
      </c>
      <c r="AF24" s="61"/>
      <c r="AG24" s="61"/>
      <c r="AH24" s="61"/>
      <c r="AI24" s="61"/>
      <c r="AJ24" s="61"/>
      <c r="AK24" s="61"/>
      <c r="AL24" s="61"/>
      <c r="AM24" s="95" t="s">
        <v>23</v>
      </c>
      <c r="AN24" s="61"/>
      <c r="AO24" s="61"/>
      <c r="AP24" s="96">
        <f>AL7-AP7</f>
        <v>0</v>
      </c>
      <c r="AQ24" s="56" t="s">
        <v>128</v>
      </c>
      <c r="AR24" s="14"/>
    </row>
    <row r="25" spans="1:44" ht="15.75" customHeight="1">
      <c r="A25" s="25"/>
      <c r="B25" s="102" t="s">
        <v>749</v>
      </c>
      <c r="C25" s="103"/>
      <c r="D25" s="104"/>
      <c r="E25" s="430"/>
      <c r="F25" s="430"/>
      <c r="G25" s="430"/>
      <c r="H25" s="430"/>
      <c r="I25" s="430"/>
      <c r="J25" s="430"/>
      <c r="K25" s="430"/>
      <c r="L25" s="430"/>
      <c r="M25" s="430"/>
      <c r="N25" s="430"/>
      <c r="O25" s="430"/>
      <c r="P25" s="430"/>
      <c r="Q25" s="430"/>
      <c r="R25" s="431"/>
      <c r="S25" s="15"/>
      <c r="T25" s="10"/>
      <c r="U25" s="94" t="s">
        <v>129</v>
      </c>
      <c r="V25" s="95" t="s">
        <v>23</v>
      </c>
      <c r="W25" s="96">
        <f>IF(AA17=0,0,AA17-$N$19)</f>
        <v>0</v>
      </c>
      <c r="X25" s="56" t="s">
        <v>130</v>
      </c>
      <c r="Y25" s="57"/>
      <c r="Z25" s="61"/>
      <c r="AA25" s="96">
        <f>IF(AI17=0,0,AI17-$N$19)</f>
        <v>0</v>
      </c>
      <c r="AB25" s="56" t="s">
        <v>131</v>
      </c>
      <c r="AC25" s="56"/>
      <c r="AD25" s="97"/>
      <c r="AE25" s="98" t="s">
        <v>132</v>
      </c>
      <c r="AF25" s="61"/>
      <c r="AG25" s="61"/>
      <c r="AH25" s="61"/>
      <c r="AI25" s="61"/>
      <c r="AJ25" s="61"/>
      <c r="AK25" s="61"/>
      <c r="AL25" s="61"/>
      <c r="AM25" s="95" t="s">
        <v>23</v>
      </c>
      <c r="AN25" s="61"/>
      <c r="AO25" s="61"/>
      <c r="AP25" s="96">
        <f>IF(AP17=0,0,(AP17-$N$19)-W25)</f>
        <v>0</v>
      </c>
      <c r="AQ25" s="56" t="s">
        <v>133</v>
      </c>
      <c r="AR25" s="14"/>
    </row>
    <row r="26" spans="1:44" ht="15.75" customHeight="1">
      <c r="A26" s="25"/>
      <c r="B26" s="403"/>
      <c r="C26" s="404"/>
      <c r="D26" s="404"/>
      <c r="E26" s="404"/>
      <c r="F26" s="404"/>
      <c r="G26" s="404"/>
      <c r="H26" s="404"/>
      <c r="I26" s="404"/>
      <c r="J26" s="404"/>
      <c r="K26" s="404"/>
      <c r="L26" s="404"/>
      <c r="M26" s="404"/>
      <c r="N26" s="404"/>
      <c r="O26" s="404"/>
      <c r="P26" s="404"/>
      <c r="Q26" s="404"/>
      <c r="R26" s="405"/>
      <c r="S26" s="15"/>
      <c r="T26" s="10"/>
      <c r="U26" s="94" t="s">
        <v>134</v>
      </c>
      <c r="V26" s="95" t="s">
        <v>23</v>
      </c>
      <c r="W26" s="96" t="e">
        <f>(W24*($E$20*(1-$E$18)-$E$18*(4.186*($N$20-$E$15)+2257))-W25*$E23)/$E$20</f>
        <v>#DIV/0!</v>
      </c>
      <c r="X26" s="56" t="s">
        <v>135</v>
      </c>
      <c r="Y26" s="57"/>
      <c r="Z26" s="61"/>
      <c r="AA26" s="382" t="e">
        <f>(AA24*($E$20*(1-$E$18)-$E$18*(4.186*($N$20-$E$15)+2257))-AA25*$E23)/$E$20</f>
        <v>#DIV/0!</v>
      </c>
      <c r="AB26" s="56" t="s">
        <v>136</v>
      </c>
      <c r="AC26" s="56"/>
      <c r="AD26" s="97"/>
      <c r="AE26" s="98" t="s">
        <v>134</v>
      </c>
      <c r="AF26" s="61"/>
      <c r="AG26" s="61"/>
      <c r="AH26" s="61"/>
      <c r="AI26" s="61"/>
      <c r="AJ26" s="61"/>
      <c r="AK26" s="61"/>
      <c r="AL26" s="61"/>
      <c r="AM26" s="95" t="s">
        <v>23</v>
      </c>
      <c r="AN26" s="61"/>
      <c r="AO26" s="61"/>
      <c r="AP26" s="382" t="e">
        <f>(AP24*($E$20*(1-$E$18)-$E$18*(4.186*($N$20-$E$15)+2257))-AP25*$E23)/$E$20</f>
        <v>#DIV/0!</v>
      </c>
      <c r="AQ26" s="56" t="s">
        <v>137</v>
      </c>
      <c r="AR26" s="14"/>
    </row>
    <row r="27" spans="1:44" ht="15.75" customHeight="1">
      <c r="A27" s="25"/>
      <c r="B27" s="403"/>
      <c r="C27" s="404"/>
      <c r="D27" s="404"/>
      <c r="E27" s="404"/>
      <c r="F27" s="404"/>
      <c r="G27" s="404"/>
      <c r="H27" s="404"/>
      <c r="I27" s="404"/>
      <c r="J27" s="404"/>
      <c r="K27" s="404"/>
      <c r="L27" s="404"/>
      <c r="M27" s="404"/>
      <c r="N27" s="404"/>
      <c r="O27" s="404"/>
      <c r="P27" s="404"/>
      <c r="Q27" s="404"/>
      <c r="R27" s="405"/>
      <c r="S27" s="15"/>
      <c r="T27" s="10"/>
      <c r="U27" s="94" t="s">
        <v>138</v>
      </c>
      <c r="V27" s="95" t="s">
        <v>23</v>
      </c>
      <c r="W27" s="96">
        <f>SUM(W12:W15)-SUM(AA12:AA15)</f>
        <v>0</v>
      </c>
      <c r="X27" s="56" t="s">
        <v>139</v>
      </c>
      <c r="Y27" s="57"/>
      <c r="Z27" s="61"/>
      <c r="AA27" s="96">
        <f>SUM(AE12:AE15)-SUM(AI12:AI15)</f>
        <v>0</v>
      </c>
      <c r="AB27" s="56" t="s">
        <v>140</v>
      </c>
      <c r="AC27" s="56"/>
      <c r="AD27" s="97"/>
      <c r="AE27" s="98" t="s">
        <v>141</v>
      </c>
      <c r="AF27" s="61"/>
      <c r="AG27" s="61"/>
      <c r="AH27" s="61"/>
      <c r="AI27" s="61"/>
      <c r="AJ27" s="61"/>
      <c r="AK27" s="61"/>
      <c r="AL27" s="61"/>
      <c r="AM27" s="95" t="s">
        <v>23</v>
      </c>
      <c r="AN27" s="61"/>
      <c r="AO27" s="61"/>
      <c r="AP27" s="96">
        <f>(AL12-AP12)+(AL13-AP13)+(AL14-AP14)+(AL15-AP15)</f>
        <v>0</v>
      </c>
      <c r="AQ27" s="56" t="s">
        <v>142</v>
      </c>
      <c r="AR27" s="14"/>
    </row>
    <row r="28" spans="1:44" ht="15.75" customHeight="1">
      <c r="A28" s="25"/>
      <c r="B28" s="105"/>
      <c r="C28" s="106"/>
      <c r="D28" s="106"/>
      <c r="E28" s="106"/>
      <c r="F28" s="106"/>
      <c r="G28" s="106"/>
      <c r="H28" s="106"/>
      <c r="I28" s="106"/>
      <c r="J28" s="106"/>
      <c r="K28" s="106"/>
      <c r="L28" s="106"/>
      <c r="M28" s="106"/>
      <c r="N28" s="106"/>
      <c r="O28" s="106"/>
      <c r="P28" s="106"/>
      <c r="Q28" s="106"/>
      <c r="R28" s="107"/>
      <c r="S28" s="15"/>
      <c r="T28" s="10"/>
      <c r="U28" s="94" t="s">
        <v>143</v>
      </c>
      <c r="V28" s="95" t="s">
        <v>23</v>
      </c>
      <c r="W28" s="96">
        <f>((AA12-$N15)*(AA8-W8)/($N$20-W8)+(AA13-$N16)*(AA9-W9)/($N$20-W9)+(AA14-$N17)*(AA10-W10)/($N$20-W10)+(AA15-$N18)*(AA11-W11)/($N$20-W11))</f>
        <v>0</v>
      </c>
      <c r="X28" s="56" t="s">
        <v>144</v>
      </c>
      <c r="Y28" s="57"/>
      <c r="Z28" s="61"/>
      <c r="AA28" s="96">
        <f>((AI12-$N15)*(AI8-AE8)/($N$20-AE8)+(AI13-$N16)*(AI9-AE9)/($N$20-AE9)+(AI14-$N17)*(AI10-AE10)/($N$20-AE10)+(AI15-$N18)*(AI11-AE11)/($N$20-AE11))</f>
        <v>0</v>
      </c>
      <c r="AB28" s="56" t="s">
        <v>145</v>
      </c>
      <c r="AC28" s="56"/>
      <c r="AD28" s="97"/>
      <c r="AE28" s="98" t="s">
        <v>146</v>
      </c>
      <c r="AF28" s="61"/>
      <c r="AG28" s="61"/>
      <c r="AH28" s="61"/>
      <c r="AI28" s="61"/>
      <c r="AJ28" s="61"/>
      <c r="AK28" s="61"/>
      <c r="AL28" s="61"/>
      <c r="AM28" s="95" t="s">
        <v>23</v>
      </c>
      <c r="AN28" s="61"/>
      <c r="AO28" s="61"/>
      <c r="AP28" s="96">
        <f>(AP12-$N$15+((AP9-25)/(N20-25))*(AP13-N16)+((AP10-25)/(N20-25))*(AP14-N17)+((AP11-25)/(N20-25))*(AP15-N18))</f>
        <v>0</v>
      </c>
      <c r="AQ28" s="56" t="s">
        <v>147</v>
      </c>
      <c r="AR28" s="14"/>
    </row>
    <row r="29" spans="1:44" ht="15.75" customHeight="1">
      <c r="A29" s="25"/>
      <c r="B29" s="403"/>
      <c r="C29" s="404"/>
      <c r="D29" s="404"/>
      <c r="E29" s="404"/>
      <c r="F29" s="404"/>
      <c r="G29" s="404"/>
      <c r="H29" s="404"/>
      <c r="I29" s="404"/>
      <c r="J29" s="404"/>
      <c r="K29" s="404"/>
      <c r="L29" s="404"/>
      <c r="M29" s="404"/>
      <c r="N29" s="404"/>
      <c r="O29" s="404"/>
      <c r="P29" s="404"/>
      <c r="Q29" s="404"/>
      <c r="R29" s="405"/>
      <c r="S29" s="15"/>
      <c r="T29" s="10"/>
      <c r="U29" s="94" t="s">
        <v>148</v>
      </c>
      <c r="V29" s="95" t="s">
        <v>149</v>
      </c>
      <c r="W29" s="96">
        <f>(AA6-W6)*1440</f>
        <v>0</v>
      </c>
      <c r="X29" s="56" t="s">
        <v>150</v>
      </c>
      <c r="Y29" s="57"/>
      <c r="Z29" s="61"/>
      <c r="AA29" s="96">
        <f>(AI6-AE6)*1440</f>
        <v>0</v>
      </c>
      <c r="AB29" s="56" t="s">
        <v>151</v>
      </c>
      <c r="AC29" s="56"/>
      <c r="AD29" s="97"/>
      <c r="AE29" s="98" t="s">
        <v>152</v>
      </c>
      <c r="AF29" s="61"/>
      <c r="AG29" s="61"/>
      <c r="AH29" s="61"/>
      <c r="AI29" s="61"/>
      <c r="AJ29" s="61"/>
      <c r="AK29" s="61"/>
      <c r="AL29" s="61"/>
      <c r="AM29" s="95" t="s">
        <v>149</v>
      </c>
      <c r="AN29" s="61"/>
      <c r="AO29" s="61"/>
      <c r="AP29" s="96">
        <f>(AP6-AL6)*1440</f>
        <v>0</v>
      </c>
      <c r="AQ29" s="56" t="s">
        <v>153</v>
      </c>
      <c r="AR29" s="14"/>
    </row>
    <row r="30" spans="1:44" ht="15.75" customHeight="1">
      <c r="A30" s="25"/>
      <c r="B30" s="403"/>
      <c r="C30" s="404"/>
      <c r="D30" s="404"/>
      <c r="E30" s="404"/>
      <c r="F30" s="404"/>
      <c r="G30" s="404"/>
      <c r="H30" s="404"/>
      <c r="I30" s="404"/>
      <c r="J30" s="404"/>
      <c r="K30" s="404"/>
      <c r="L30" s="404"/>
      <c r="M30" s="404"/>
      <c r="N30" s="404"/>
      <c r="O30" s="404"/>
      <c r="P30" s="404"/>
      <c r="Q30" s="404"/>
      <c r="R30" s="405"/>
      <c r="S30" s="15"/>
      <c r="T30" s="10"/>
      <c r="U30" s="94" t="s">
        <v>154</v>
      </c>
      <c r="V30" s="95" t="s">
        <v>149</v>
      </c>
      <c r="W30" s="96">
        <f>IF(N20=0,0,W29*75/(N20-W8))</f>
        <v>0</v>
      </c>
      <c r="X30" s="56" t="s">
        <v>155</v>
      </c>
      <c r="Y30" s="57"/>
      <c r="Z30" s="61"/>
      <c r="AA30" s="96">
        <f>IF(N20=0,0,AA29*75/(N20-AE8))</f>
        <v>0</v>
      </c>
      <c r="AB30" s="56" t="s">
        <v>156</v>
      </c>
      <c r="AC30" s="56"/>
      <c r="AD30" s="97"/>
      <c r="AE30" s="98" t="s">
        <v>157</v>
      </c>
      <c r="AF30" s="61"/>
      <c r="AG30" s="61"/>
      <c r="AH30" s="61"/>
      <c r="AI30" s="61"/>
      <c r="AJ30" s="61"/>
      <c r="AK30" s="61"/>
      <c r="AL30" s="61"/>
      <c r="AM30" s="95" t="s">
        <v>116</v>
      </c>
      <c r="AN30" s="61"/>
      <c r="AO30" s="61"/>
      <c r="AP30" s="108" t="e">
        <f>IF(AP26=0,0,(4.186*((AL12-$N15+AP28)/2)*(AP8-AL8)+2260*AP27)/(AP26*$E$20))</f>
        <v>#DIV/0!</v>
      </c>
      <c r="AQ30" s="56" t="s">
        <v>158</v>
      </c>
      <c r="AR30" s="14"/>
    </row>
    <row r="31" spans="1:44" ht="15.75" customHeight="1">
      <c r="A31" s="25"/>
      <c r="B31" s="403"/>
      <c r="C31" s="404"/>
      <c r="D31" s="404"/>
      <c r="E31" s="404"/>
      <c r="F31" s="404"/>
      <c r="G31" s="404"/>
      <c r="H31" s="404"/>
      <c r="I31" s="404"/>
      <c r="J31" s="404"/>
      <c r="K31" s="404"/>
      <c r="L31" s="404"/>
      <c r="M31" s="404"/>
      <c r="N31" s="404"/>
      <c r="O31" s="404"/>
      <c r="P31" s="404"/>
      <c r="Q31" s="404"/>
      <c r="R31" s="405"/>
      <c r="S31" s="15"/>
      <c r="T31" s="10"/>
      <c r="U31" s="94" t="s">
        <v>157</v>
      </c>
      <c r="V31" s="95" t="s">
        <v>116</v>
      </c>
      <c r="W31" s="108" t="e">
        <f>IF(W26=0,0,(4.186*SUM((W12-$N15)*(AA8-W8),(W13-$N16)*(AA9-W9),(W14-$N17)*(AA10-W10),(W15-$N18)*(AA11-W11))+2260*W27)/(W26*$E20))</f>
        <v>#DIV/0!</v>
      </c>
      <c r="X31" s="56" t="s">
        <v>159</v>
      </c>
      <c r="Y31" s="57"/>
      <c r="Z31" s="61"/>
      <c r="AA31" s="108" t="e">
        <f>IF(AA26=0,0,(4.186*SUM((AE12-$N15)*(AI8-AE8),(AE13-$N16)*(AI9-AE9),(AE14-$N17)*(AI10-AE10),(AE15-$N18)*(AI11-AE11))+2260*AA27)/(AA26*$E20))</f>
        <v>#DIV/0!</v>
      </c>
      <c r="AB31" s="56" t="s">
        <v>160</v>
      </c>
      <c r="AC31" s="56"/>
      <c r="AD31" s="97"/>
      <c r="AE31" s="98" t="s">
        <v>161</v>
      </c>
      <c r="AF31" s="61"/>
      <c r="AG31" s="61"/>
      <c r="AH31" s="61"/>
      <c r="AI31" s="61"/>
      <c r="AJ31" s="61"/>
      <c r="AK31" s="61"/>
      <c r="AL31" s="61"/>
      <c r="AM31" s="95" t="s">
        <v>162</v>
      </c>
      <c r="AN31" s="61"/>
      <c r="AO31" s="61"/>
      <c r="AP31" s="96">
        <f>IF(AP29=0,0,AP26/AP29)</f>
        <v>0</v>
      </c>
      <c r="AQ31" s="56" t="s">
        <v>163</v>
      </c>
      <c r="AR31" s="14"/>
    </row>
    <row r="32" spans="1:44" ht="15.75" customHeight="1">
      <c r="A32" s="25"/>
      <c r="B32" s="403"/>
      <c r="C32" s="404"/>
      <c r="D32" s="404"/>
      <c r="E32" s="404"/>
      <c r="F32" s="404"/>
      <c r="G32" s="404"/>
      <c r="H32" s="404"/>
      <c r="I32" s="404"/>
      <c r="J32" s="404"/>
      <c r="K32" s="404"/>
      <c r="L32" s="404"/>
      <c r="M32" s="404"/>
      <c r="N32" s="404"/>
      <c r="O32" s="404"/>
      <c r="P32" s="404"/>
      <c r="Q32" s="404"/>
      <c r="R32" s="405"/>
      <c r="S32" s="15"/>
      <c r="T32" s="10"/>
      <c r="U32" s="94" t="s">
        <v>161</v>
      </c>
      <c r="V32" s="95" t="s">
        <v>162</v>
      </c>
      <c r="W32" s="96">
        <f>IF(W29=0,0,W26/W29)</f>
        <v>0</v>
      </c>
      <c r="X32" s="95" t="s">
        <v>164</v>
      </c>
      <c r="Y32" s="57"/>
      <c r="Z32" s="61"/>
      <c r="AA32" s="96">
        <f>IF(AA29=0,0,AA26/AA29)</f>
        <v>0</v>
      </c>
      <c r="AB32" s="56" t="s">
        <v>165</v>
      </c>
      <c r="AC32" s="56"/>
      <c r="AD32" s="97"/>
      <c r="AE32" s="98" t="s">
        <v>166</v>
      </c>
      <c r="AF32" s="61"/>
      <c r="AG32" s="61"/>
      <c r="AH32" s="61"/>
      <c r="AI32" s="61"/>
      <c r="AJ32" s="61"/>
      <c r="AK32" s="61"/>
      <c r="AL32" s="61"/>
      <c r="AM32" s="95" t="s">
        <v>167</v>
      </c>
      <c r="AN32" s="61"/>
      <c r="AO32" s="61"/>
      <c r="AP32" s="96">
        <f>IF(AP28=0,0,AP26/AP28*1000)</f>
        <v>0</v>
      </c>
      <c r="AQ32" s="56" t="s">
        <v>168</v>
      </c>
      <c r="AR32" s="14"/>
    </row>
    <row r="33" spans="1:44" ht="15.75" customHeight="1">
      <c r="A33" s="25"/>
      <c r="B33" s="105"/>
      <c r="C33" s="106"/>
      <c r="D33" s="106"/>
      <c r="E33" s="106"/>
      <c r="F33" s="106"/>
      <c r="G33" s="106"/>
      <c r="H33" s="106"/>
      <c r="I33" s="106"/>
      <c r="J33" s="106"/>
      <c r="K33" s="106"/>
      <c r="L33" s="106"/>
      <c r="M33" s="106"/>
      <c r="N33" s="106"/>
      <c r="O33" s="106"/>
      <c r="P33" s="106"/>
      <c r="Q33" s="106"/>
      <c r="R33" s="107"/>
      <c r="S33" s="15"/>
      <c r="T33" s="10"/>
      <c r="U33" s="94" t="s">
        <v>166</v>
      </c>
      <c r="V33" s="95" t="s">
        <v>167</v>
      </c>
      <c r="W33" s="96">
        <f>IF(W28=0,0,1000*W26/(SUM(W28:W28)))</f>
        <v>0</v>
      </c>
      <c r="X33" s="56" t="s">
        <v>169</v>
      </c>
      <c r="Y33" s="57"/>
      <c r="Z33" s="61"/>
      <c r="AA33" s="96">
        <f>IF(AA28=0,0,1000*AA26/(SUM(AA28:AA28)))</f>
        <v>0</v>
      </c>
      <c r="AB33" s="56" t="s">
        <v>170</v>
      </c>
      <c r="AC33" s="56"/>
      <c r="AD33" s="97"/>
      <c r="AE33" s="98" t="s">
        <v>171</v>
      </c>
      <c r="AF33" s="61"/>
      <c r="AG33" s="61"/>
      <c r="AH33" s="61"/>
      <c r="AI33" s="61"/>
      <c r="AJ33" s="61"/>
      <c r="AK33" s="61"/>
      <c r="AL33" s="61"/>
      <c r="AM33" s="95" t="s">
        <v>172</v>
      </c>
      <c r="AN33" s="61"/>
      <c r="AO33" s="61"/>
      <c r="AP33" s="96">
        <f>IF(AP29=0,0,AP26*$E$20/(AP29*60))</f>
        <v>0</v>
      </c>
      <c r="AQ33" s="56" t="s">
        <v>173</v>
      </c>
      <c r="AR33" s="14"/>
    </row>
    <row r="34" spans="1:44" ht="15.75" customHeight="1">
      <c r="A34" s="25"/>
      <c r="B34" s="403"/>
      <c r="C34" s="404"/>
      <c r="D34" s="404"/>
      <c r="E34" s="404"/>
      <c r="F34" s="404"/>
      <c r="G34" s="404"/>
      <c r="H34" s="404"/>
      <c r="I34" s="404"/>
      <c r="J34" s="404"/>
      <c r="K34" s="404"/>
      <c r="L34" s="404"/>
      <c r="M34" s="404"/>
      <c r="N34" s="404"/>
      <c r="O34" s="404"/>
      <c r="P34" s="404"/>
      <c r="Q34" s="404"/>
      <c r="R34" s="405"/>
      <c r="S34" s="15"/>
      <c r="T34" s="10"/>
      <c r="U34" s="94" t="s">
        <v>174</v>
      </c>
      <c r="V34" s="95" t="s">
        <v>167</v>
      </c>
      <c r="W34" s="96">
        <f>IF(W28=0,0,W33*75/($N$20-W8))</f>
        <v>0</v>
      </c>
      <c r="X34" s="56" t="s">
        <v>175</v>
      </c>
      <c r="Y34" s="57"/>
      <c r="Z34" s="61"/>
      <c r="AA34" s="96">
        <f>IF(AA28=0,0,AA33*75/($N$20-AE8))</f>
        <v>0</v>
      </c>
      <c r="AB34" s="56" t="s">
        <v>176</v>
      </c>
      <c r="AC34" s="56"/>
      <c r="AD34" s="97"/>
      <c r="AE34" s="98" t="s">
        <v>177</v>
      </c>
      <c r="AF34" s="61"/>
      <c r="AG34" s="61"/>
      <c r="AH34" s="61"/>
      <c r="AI34" s="61"/>
      <c r="AJ34" s="61"/>
      <c r="AK34" s="61"/>
      <c r="AL34" s="61"/>
      <c r="AM34" s="95" t="s">
        <v>95</v>
      </c>
      <c r="AN34" s="61"/>
      <c r="AO34" s="61"/>
      <c r="AP34" s="109">
        <f>IF(AP33=0,0,W36/AP33)</f>
        <v>0</v>
      </c>
      <c r="AQ34" s="95" t="s">
        <v>178</v>
      </c>
      <c r="AR34" s="14"/>
    </row>
    <row r="35" spans="1:44" ht="15.75" customHeight="1" thickBot="1">
      <c r="A35" s="25"/>
      <c r="B35" s="400"/>
      <c r="C35" s="401"/>
      <c r="D35" s="401"/>
      <c r="E35" s="401"/>
      <c r="F35" s="401"/>
      <c r="G35" s="401"/>
      <c r="H35" s="401"/>
      <c r="I35" s="401"/>
      <c r="J35" s="401"/>
      <c r="K35" s="401"/>
      <c r="L35" s="401"/>
      <c r="M35" s="401"/>
      <c r="N35" s="401"/>
      <c r="O35" s="401"/>
      <c r="P35" s="401"/>
      <c r="Q35" s="401"/>
      <c r="R35" s="402"/>
      <c r="S35" s="15"/>
      <c r="T35" s="10"/>
      <c r="U35" s="94" t="s">
        <v>179</v>
      </c>
      <c r="V35" s="95" t="s">
        <v>180</v>
      </c>
      <c r="W35" s="96">
        <f>(W34/1000)*E20</f>
        <v>0</v>
      </c>
      <c r="X35" s="56" t="s">
        <v>181</v>
      </c>
      <c r="Y35" s="57"/>
      <c r="Z35" s="61"/>
      <c r="AA35" s="96">
        <f>(AA34/1000)*E20</f>
        <v>0</v>
      </c>
      <c r="AB35" s="56" t="s">
        <v>182</v>
      </c>
      <c r="AC35" s="56"/>
      <c r="AD35" s="97"/>
      <c r="AE35" s="110" t="s">
        <v>183</v>
      </c>
      <c r="AF35" s="111"/>
      <c r="AG35" s="111"/>
      <c r="AH35" s="111"/>
      <c r="AI35" s="111"/>
      <c r="AJ35" s="111"/>
      <c r="AK35" s="111"/>
      <c r="AL35" s="111"/>
      <c r="AM35" s="112" t="s">
        <v>180</v>
      </c>
      <c r="AN35" s="111"/>
      <c r="AO35" s="111"/>
      <c r="AP35" s="113">
        <f>(AP33/1000)*E20</f>
        <v>0</v>
      </c>
      <c r="AQ35" s="114" t="s">
        <v>184</v>
      </c>
      <c r="AR35" s="115"/>
    </row>
    <row r="36" spans="1:44" ht="15.75" customHeight="1" thickBot="1">
      <c r="A36" s="25"/>
      <c r="B36" s="118" t="s">
        <v>192</v>
      </c>
      <c r="C36" s="118"/>
      <c r="D36" s="118"/>
      <c r="E36" s="118"/>
      <c r="F36" s="118"/>
      <c r="G36" s="118"/>
      <c r="H36" s="118"/>
      <c r="I36" s="118"/>
      <c r="J36" s="118"/>
      <c r="K36" s="118"/>
      <c r="L36" s="118"/>
      <c r="M36" s="118"/>
      <c r="N36" s="118"/>
      <c r="O36" s="119"/>
      <c r="P36" s="119"/>
      <c r="Q36" s="119"/>
      <c r="R36" s="119"/>
      <c r="S36" s="15"/>
      <c r="T36" s="10"/>
      <c r="U36" s="2" t="s">
        <v>171</v>
      </c>
      <c r="V36" s="22" t="s">
        <v>172</v>
      </c>
      <c r="W36" s="100">
        <f>IF(W29=0,0,W26*$E$20/(W29*60))</f>
        <v>0</v>
      </c>
      <c r="X36" s="43" t="s">
        <v>185</v>
      </c>
      <c r="Y36" s="348"/>
      <c r="Z36" s="13"/>
      <c r="AA36" s="100">
        <f>IF(AA29=0,0,AA26*$E$20/(AA29*60))</f>
        <v>0</v>
      </c>
      <c r="AB36" s="43" t="s">
        <v>186</v>
      </c>
      <c r="AC36" s="43"/>
      <c r="AD36" s="97"/>
      <c r="AE36" s="3" t="s">
        <v>187</v>
      </c>
      <c r="AM36" s="3" t="s">
        <v>23</v>
      </c>
      <c r="AP36" s="347">
        <f>IF(AA34=0,5*(W34+AP32),5*(AVERAGE(W34,AA34)+AP32))</f>
        <v>0</v>
      </c>
      <c r="AQ36" s="116" t="s">
        <v>188</v>
      </c>
      <c r="AR36" s="14"/>
    </row>
    <row r="37" spans="1:44" ht="13.5" customHeight="1" thickBot="1" thickTop="1">
      <c r="A37" s="117"/>
      <c r="B37" s="343"/>
      <c r="C37" s="343"/>
      <c r="D37" s="343"/>
      <c r="E37" s="343"/>
      <c r="F37" s="343"/>
      <c r="G37" s="343"/>
      <c r="H37" s="343"/>
      <c r="I37" s="343"/>
      <c r="J37" s="343"/>
      <c r="K37" s="343"/>
      <c r="L37" s="343"/>
      <c r="M37" s="343"/>
      <c r="N37" s="343"/>
      <c r="O37" s="343"/>
      <c r="P37" s="343"/>
      <c r="Q37" s="343"/>
      <c r="R37" s="343"/>
      <c r="S37" s="120"/>
      <c r="T37" s="121"/>
      <c r="U37" s="122"/>
      <c r="V37" s="122"/>
      <c r="W37" s="122"/>
      <c r="X37" s="122"/>
      <c r="Y37" s="349"/>
      <c r="Z37" s="122"/>
      <c r="AA37" s="122"/>
      <c r="AB37" s="122"/>
      <c r="AC37" s="122"/>
      <c r="AD37" s="350"/>
      <c r="AE37" s="122" t="s">
        <v>189</v>
      </c>
      <c r="AF37" s="122"/>
      <c r="AG37" s="122"/>
      <c r="AH37" s="122"/>
      <c r="AI37" s="122"/>
      <c r="AJ37" s="122"/>
      <c r="AK37" s="122"/>
      <c r="AL37" s="122"/>
      <c r="AM37" s="122" t="s">
        <v>190</v>
      </c>
      <c r="AN37" s="122"/>
      <c r="AO37" s="122"/>
      <c r="AP37" s="351">
        <f>(AP36/1000)*E20</f>
        <v>0</v>
      </c>
      <c r="AQ37" s="123" t="s">
        <v>191</v>
      </c>
      <c r="AR37" s="124"/>
    </row>
    <row r="38" spans="2:44" ht="14.25" customHeight="1" thickBot="1" thickTop="1">
      <c r="B38" s="126" t="str">
        <f>"TEST #3 "&amp;D7</f>
        <v>TEST #3 </v>
      </c>
      <c r="S38" s="2"/>
      <c r="U38" s="126" t="str">
        <f>"TEST #3 "&amp;D7</f>
        <v>TEST #3 </v>
      </c>
      <c r="V38" s="89" t="s">
        <v>818</v>
      </c>
      <c r="W38" s="13"/>
      <c r="X38" s="22"/>
      <c r="Y38" s="22"/>
      <c r="Z38" s="22"/>
      <c r="AA38" s="100"/>
      <c r="AB38" s="43"/>
      <c r="AC38" s="43"/>
      <c r="AD38" s="13"/>
      <c r="AE38" s="13"/>
      <c r="AF38" s="13"/>
      <c r="AG38" s="13"/>
      <c r="AH38" s="13"/>
      <c r="AI38" s="13"/>
      <c r="AJ38" s="13"/>
      <c r="AK38" s="13"/>
      <c r="AL38" s="13"/>
      <c r="AM38" s="13"/>
      <c r="AN38" s="13"/>
      <c r="AO38" s="13"/>
      <c r="AP38" s="13"/>
      <c r="AQ38" s="13"/>
      <c r="AR38" s="13"/>
    </row>
    <row r="39" spans="2:44" ht="14.25" customHeight="1" thickTop="1">
      <c r="B39" s="406" t="s">
        <v>759</v>
      </c>
      <c r="C39" s="407"/>
      <c r="D39" s="407"/>
      <c r="E39" s="407"/>
      <c r="F39" s="407"/>
      <c r="G39" s="407"/>
      <c r="H39" s="407"/>
      <c r="I39" s="407"/>
      <c r="J39" s="407"/>
      <c r="K39" s="407"/>
      <c r="L39" s="407"/>
      <c r="M39" s="407"/>
      <c r="N39" s="407"/>
      <c r="O39" s="407"/>
      <c r="P39" s="407"/>
      <c r="Q39" s="407"/>
      <c r="R39" s="408"/>
      <c r="T39" s="7"/>
      <c r="U39" s="8"/>
      <c r="V39" s="8"/>
      <c r="W39" s="359" t="s">
        <v>113</v>
      </c>
      <c r="X39" s="8"/>
      <c r="Y39" s="360"/>
      <c r="Z39" s="8"/>
      <c r="AA39" s="359" t="s">
        <v>114</v>
      </c>
      <c r="AB39" s="8"/>
      <c r="AC39" s="360"/>
      <c r="AD39" s="8"/>
      <c r="AE39" s="359" t="s">
        <v>2</v>
      </c>
      <c r="AF39" s="8"/>
      <c r="AG39" s="197"/>
      <c r="AH39" s="197"/>
      <c r="AI39" s="198"/>
      <c r="AJ39" s="71"/>
      <c r="AK39" s="71"/>
      <c r="AL39" s="71"/>
      <c r="AM39" s="71"/>
      <c r="AN39" s="71"/>
      <c r="AO39" s="71"/>
      <c r="AP39" s="71"/>
      <c r="AQ39" s="71"/>
      <c r="AR39" s="71"/>
    </row>
    <row r="40" spans="2:122" ht="16.5" customHeight="1">
      <c r="B40" s="403"/>
      <c r="C40" s="404"/>
      <c r="D40" s="404"/>
      <c r="E40" s="404"/>
      <c r="F40" s="404"/>
      <c r="G40" s="404"/>
      <c r="H40" s="404"/>
      <c r="I40" s="404"/>
      <c r="J40" s="404"/>
      <c r="K40" s="404"/>
      <c r="L40" s="404"/>
      <c r="M40" s="404"/>
      <c r="N40" s="404"/>
      <c r="O40" s="404"/>
      <c r="P40" s="404"/>
      <c r="Q40" s="404"/>
      <c r="R40" s="405"/>
      <c r="T40" s="10"/>
      <c r="U40" s="91" t="s">
        <v>120</v>
      </c>
      <c r="V40" s="92" t="s">
        <v>11</v>
      </c>
      <c r="W40" s="92" t="s">
        <v>12</v>
      </c>
      <c r="X40" s="92" t="s">
        <v>13</v>
      </c>
      <c r="Y40" s="46"/>
      <c r="Z40" s="13"/>
      <c r="AA40" s="92" t="s">
        <v>12</v>
      </c>
      <c r="AB40" s="92" t="s">
        <v>13</v>
      </c>
      <c r="AC40" s="46"/>
      <c r="AD40" s="13"/>
      <c r="AE40" s="92" t="s">
        <v>12</v>
      </c>
      <c r="AF40" s="92" t="s">
        <v>13</v>
      </c>
      <c r="AG40" s="71"/>
      <c r="AH40" s="71"/>
      <c r="AI40" s="206"/>
      <c r="AJ40"/>
      <c r="AK40"/>
      <c r="AL40"/>
      <c r="AM40"/>
      <c r="AN40"/>
      <c r="AO40"/>
      <c r="AP40"/>
      <c r="AQ40"/>
      <c r="AR40"/>
      <c r="DG40" s="1"/>
      <c r="DH40" s="1"/>
      <c r="DI40" s="1"/>
      <c r="DJ40" s="1"/>
      <c r="DK40" s="1"/>
      <c r="DL40" s="1"/>
      <c r="DM40" s="1"/>
      <c r="DN40" s="1"/>
      <c r="DO40" s="1"/>
      <c r="DP40" s="1"/>
      <c r="DQ40" s="1"/>
      <c r="DR40" s="1"/>
    </row>
    <row r="41" spans="2:122" ht="16.5" customHeight="1">
      <c r="B41" s="105"/>
      <c r="C41" s="106"/>
      <c r="D41" s="106"/>
      <c r="E41" s="106"/>
      <c r="F41" s="106"/>
      <c r="G41" s="106"/>
      <c r="H41" s="106"/>
      <c r="I41" s="106"/>
      <c r="J41" s="106"/>
      <c r="K41" s="106"/>
      <c r="L41" s="106"/>
      <c r="M41" s="106"/>
      <c r="N41" s="106"/>
      <c r="O41" s="106"/>
      <c r="P41" s="106"/>
      <c r="Q41" s="106"/>
      <c r="R41" s="107"/>
      <c r="T41" s="10"/>
      <c r="U41" s="94" t="s">
        <v>819</v>
      </c>
      <c r="V41" s="95" t="s">
        <v>820</v>
      </c>
      <c r="W41" s="354">
        <f>'General Information'!$C$22*W29/60</f>
        <v>0</v>
      </c>
      <c r="X41" s="56"/>
      <c r="Y41" s="57"/>
      <c r="Z41" s="61"/>
      <c r="AA41" s="354">
        <f>'General Information'!$C$22*AA29/60</f>
        <v>0</v>
      </c>
      <c r="AB41" s="56"/>
      <c r="AC41" s="46"/>
      <c r="AD41" s="13"/>
      <c r="AE41" s="354">
        <f>'General Information'!$C$22*AP29/60</f>
        <v>0</v>
      </c>
      <c r="AF41" s="56"/>
      <c r="AG41" s="71"/>
      <c r="AH41" s="71"/>
      <c r="AI41" s="206"/>
      <c r="AJ41"/>
      <c r="AK41"/>
      <c r="AL41"/>
      <c r="AM41"/>
      <c r="AN41"/>
      <c r="AO41"/>
      <c r="AP41"/>
      <c r="AQ41"/>
      <c r="AR41"/>
      <c r="DG41" s="1"/>
      <c r="DH41" s="1"/>
      <c r="DI41" s="1"/>
      <c r="DJ41" s="1"/>
      <c r="DK41" s="1"/>
      <c r="DL41" s="1"/>
      <c r="DM41" s="1"/>
      <c r="DN41" s="1"/>
      <c r="DO41" s="1"/>
      <c r="DP41" s="1"/>
      <c r="DQ41" s="1"/>
      <c r="DR41" s="1"/>
    </row>
    <row r="42" spans="2:122" ht="16.5" customHeight="1">
      <c r="B42" s="403"/>
      <c r="C42" s="404"/>
      <c r="D42" s="404"/>
      <c r="E42" s="404"/>
      <c r="F42" s="404"/>
      <c r="G42" s="404"/>
      <c r="H42" s="404"/>
      <c r="I42" s="404"/>
      <c r="J42" s="404"/>
      <c r="K42" s="404"/>
      <c r="L42" s="404"/>
      <c r="M42" s="404"/>
      <c r="N42" s="404"/>
      <c r="O42" s="404"/>
      <c r="P42" s="404"/>
      <c r="Q42" s="404"/>
      <c r="R42" s="405"/>
      <c r="T42" s="10"/>
      <c r="U42" s="94" t="s">
        <v>828</v>
      </c>
      <c r="V42" s="95" t="s">
        <v>795</v>
      </c>
      <c r="W42" s="354">
        <f>((AA18-$N21)+(AA19-$N22)+(AA20-$N23)/15/('General Information'!$C$20/0.008314/(E15+273.15)))</f>
        <v>0</v>
      </c>
      <c r="X42" s="56"/>
      <c r="Y42" s="57"/>
      <c r="Z42" s="61"/>
      <c r="AA42" s="354">
        <f>((AI18-$N21)+(AI19-$N22)+(AI20-$N23)/15/('General Information'!$C$20/0.008314/(I15+273.15)))</f>
        <v>0</v>
      </c>
      <c r="AB42" s="56"/>
      <c r="AC42" s="57"/>
      <c r="AD42" s="13"/>
      <c r="AE42" s="354">
        <f>((AP18-$N21)+(AP19-$N22)+(AP20-$N23)/15/('General Information'!$C$20/0.008314/(M15+273.15)))</f>
        <v>0</v>
      </c>
      <c r="AF42" s="56"/>
      <c r="AG42" s="71"/>
      <c r="AH42" s="71"/>
      <c r="AI42" s="206"/>
      <c r="AJ42"/>
      <c r="AK42"/>
      <c r="AL42"/>
      <c r="AM42"/>
      <c r="AN42"/>
      <c r="AO42"/>
      <c r="AP42"/>
      <c r="AQ42"/>
      <c r="AR42"/>
      <c r="DG42" s="1"/>
      <c r="DH42" s="1"/>
      <c r="DI42" s="1"/>
      <c r="DJ42" s="1"/>
      <c r="DK42" s="1"/>
      <c r="DL42" s="1"/>
      <c r="DM42" s="1"/>
      <c r="DN42" s="1"/>
      <c r="DO42" s="1"/>
      <c r="DP42" s="1"/>
      <c r="DQ42" s="1"/>
      <c r="DR42" s="1"/>
    </row>
    <row r="43" spans="2:122" ht="16.5" customHeight="1">
      <c r="B43" s="403"/>
      <c r="C43" s="404"/>
      <c r="D43" s="404"/>
      <c r="E43" s="404"/>
      <c r="F43" s="404"/>
      <c r="G43" s="404"/>
      <c r="H43" s="404"/>
      <c r="I43" s="404"/>
      <c r="J43" s="404"/>
      <c r="K43" s="404"/>
      <c r="L43" s="404"/>
      <c r="M43" s="404"/>
      <c r="N43" s="404"/>
      <c r="O43" s="404"/>
      <c r="P43" s="404"/>
      <c r="Q43" s="404"/>
      <c r="R43" s="405"/>
      <c r="T43" s="10"/>
      <c r="U43" s="94" t="s">
        <v>821</v>
      </c>
      <c r="V43" s="95" t="s">
        <v>822</v>
      </c>
      <c r="W43" s="355">
        <f>'General Information'!$C$20/0.008314/($E$15+273.15)*W42*0.000001*12</f>
        <v>0</v>
      </c>
      <c r="X43" s="56"/>
      <c r="Y43" s="57"/>
      <c r="Z43" s="61"/>
      <c r="AA43" s="355">
        <f>'General Information'!$C$20/0.008314/($E$15+273.15)*AA42*0.000001*12</f>
        <v>0</v>
      </c>
      <c r="AB43" s="56"/>
      <c r="AC43" s="57"/>
      <c r="AD43" s="13"/>
      <c r="AE43" s="355">
        <f>'General Information'!$C$20/0.008314/($E$15+273.15)*AE42*0.000001*12</f>
        <v>0</v>
      </c>
      <c r="AF43" s="56"/>
      <c r="AG43" s="71"/>
      <c r="AH43" s="71"/>
      <c r="AI43" s="206"/>
      <c r="AJ43"/>
      <c r="AK43"/>
      <c r="AL43"/>
      <c r="AM43"/>
      <c r="AN43"/>
      <c r="AO43"/>
      <c r="AP43"/>
      <c r="AQ43"/>
      <c r="AR43"/>
      <c r="DG43" s="1"/>
      <c r="DH43" s="1"/>
      <c r="DI43" s="1"/>
      <c r="DJ43" s="1"/>
      <c r="DK43" s="1"/>
      <c r="DL43" s="1"/>
      <c r="DM43" s="1"/>
      <c r="DN43" s="1"/>
      <c r="DO43" s="1"/>
      <c r="DP43" s="1"/>
      <c r="DQ43" s="1"/>
      <c r="DR43" s="1"/>
    </row>
    <row r="44" spans="2:122" ht="16.5" customHeight="1">
      <c r="B44" s="403"/>
      <c r="C44" s="404"/>
      <c r="D44" s="404"/>
      <c r="E44" s="404"/>
      <c r="F44" s="404"/>
      <c r="G44" s="404"/>
      <c r="H44" s="404"/>
      <c r="I44" s="404"/>
      <c r="J44" s="404"/>
      <c r="K44" s="404"/>
      <c r="L44" s="404"/>
      <c r="M44" s="404"/>
      <c r="N44" s="404"/>
      <c r="O44" s="404"/>
      <c r="P44" s="404"/>
      <c r="Q44" s="404"/>
      <c r="R44" s="405"/>
      <c r="T44" s="10"/>
      <c r="U44" s="94" t="s">
        <v>849</v>
      </c>
      <c r="V44" s="95" t="s">
        <v>23</v>
      </c>
      <c r="W44" s="354" t="e">
        <f>W43*W41/fuelFracC</f>
        <v>#DIV/0!</v>
      </c>
      <c r="X44" s="56"/>
      <c r="Y44" s="57"/>
      <c r="Z44" s="61"/>
      <c r="AA44" s="354" t="e">
        <f>AA43*AA41/fuelFracC</f>
        <v>#DIV/0!</v>
      </c>
      <c r="AB44" s="56"/>
      <c r="AC44" s="57"/>
      <c r="AD44" s="13"/>
      <c r="AE44" s="354" t="e">
        <f>AE43*AE41/fuelFracC</f>
        <v>#DIV/0!</v>
      </c>
      <c r="AF44" s="56"/>
      <c r="AG44" s="13"/>
      <c r="AH44" s="13"/>
      <c r="AI44" s="14"/>
      <c r="DG44" s="1"/>
      <c r="DH44" s="1"/>
      <c r="DI44" s="1"/>
      <c r="DJ44" s="1"/>
      <c r="DK44" s="1"/>
      <c r="DL44" s="1"/>
      <c r="DM44" s="1"/>
      <c r="DN44" s="1"/>
      <c r="DO44" s="1"/>
      <c r="DP44" s="1"/>
      <c r="DQ44" s="1"/>
      <c r="DR44" s="1"/>
    </row>
    <row r="45" spans="2:35" ht="16.5" customHeight="1">
      <c r="B45" s="403"/>
      <c r="C45" s="404"/>
      <c r="D45" s="404"/>
      <c r="E45" s="404"/>
      <c r="F45" s="404"/>
      <c r="G45" s="404"/>
      <c r="H45" s="404"/>
      <c r="I45" s="404"/>
      <c r="J45" s="404"/>
      <c r="K45" s="404"/>
      <c r="L45" s="404"/>
      <c r="M45" s="404"/>
      <c r="N45" s="404"/>
      <c r="O45" s="404"/>
      <c r="P45" s="404"/>
      <c r="Q45" s="404"/>
      <c r="R45" s="405"/>
      <c r="T45" s="10"/>
      <c r="U45" s="13" t="s">
        <v>838</v>
      </c>
      <c r="V45" s="22" t="s">
        <v>116</v>
      </c>
      <c r="W45" s="354">
        <f>IF(W24=0,0,W44*(1-$E$18)/(W24))</f>
        <v>0</v>
      </c>
      <c r="X45" s="56"/>
      <c r="Y45" s="57"/>
      <c r="Z45" s="61"/>
      <c r="AA45" s="354">
        <f>IF(AA24=0,0,AA44*(1-$E$18)/(AA24))</f>
        <v>0</v>
      </c>
      <c r="AB45" s="13"/>
      <c r="AC45" s="57"/>
      <c r="AD45" s="13"/>
      <c r="AE45" s="354">
        <f>IF(AP24=0,0,AE44*(1-$E$18)/(AP24))</f>
        <v>0</v>
      </c>
      <c r="AF45" s="13"/>
      <c r="AG45" s="13"/>
      <c r="AH45" s="13"/>
      <c r="AI45" s="14"/>
    </row>
    <row r="46" spans="2:35" ht="16.5" customHeight="1">
      <c r="B46" s="105"/>
      <c r="C46" s="106"/>
      <c r="D46" s="106"/>
      <c r="E46" s="106"/>
      <c r="F46" s="106"/>
      <c r="G46" s="106"/>
      <c r="H46" s="106"/>
      <c r="I46" s="106"/>
      <c r="J46" s="106"/>
      <c r="K46" s="106"/>
      <c r="L46" s="106"/>
      <c r="M46" s="106"/>
      <c r="N46" s="106"/>
      <c r="O46" s="106"/>
      <c r="P46" s="106"/>
      <c r="Q46" s="106"/>
      <c r="R46" s="107"/>
      <c r="T46" s="10"/>
      <c r="U46" s="361" t="s">
        <v>827</v>
      </c>
      <c r="V46" s="13"/>
      <c r="W46" s="22"/>
      <c r="X46" s="56"/>
      <c r="Y46" s="57"/>
      <c r="Z46" s="61"/>
      <c r="AA46" s="22"/>
      <c r="AB46" s="13"/>
      <c r="AC46" s="57"/>
      <c r="AD46" s="13"/>
      <c r="AE46" s="22"/>
      <c r="AF46" s="13"/>
      <c r="AG46" s="13"/>
      <c r="AH46" s="13"/>
      <c r="AI46" s="14"/>
    </row>
    <row r="47" spans="2:35" ht="16.5" customHeight="1">
      <c r="B47" s="403"/>
      <c r="C47" s="404"/>
      <c r="D47" s="404"/>
      <c r="E47" s="404"/>
      <c r="F47" s="404"/>
      <c r="G47" s="404"/>
      <c r="H47" s="404"/>
      <c r="I47" s="404"/>
      <c r="J47" s="404"/>
      <c r="K47" s="404"/>
      <c r="L47" s="404"/>
      <c r="M47" s="404"/>
      <c r="N47" s="404"/>
      <c r="O47" s="404"/>
      <c r="P47" s="404"/>
      <c r="Q47" s="404"/>
      <c r="R47" s="405"/>
      <c r="T47" s="10"/>
      <c r="U47" s="13" t="s">
        <v>826</v>
      </c>
      <c r="V47" s="13" t="s">
        <v>167</v>
      </c>
      <c r="W47" s="354">
        <f>W51*W$33/1000</f>
        <v>0</v>
      </c>
      <c r="X47" s="56"/>
      <c r="Y47" s="57"/>
      <c r="Z47" s="61"/>
      <c r="AA47" s="354">
        <f>AA51*AA$33/1000</f>
        <v>0</v>
      </c>
      <c r="AB47" s="13"/>
      <c r="AC47" s="57"/>
      <c r="AD47" s="13"/>
      <c r="AE47" s="354">
        <f>AE51*AP$32/1000</f>
        <v>0</v>
      </c>
      <c r="AF47" s="13"/>
      <c r="AG47" s="13"/>
      <c r="AH47" s="13"/>
      <c r="AI47" s="14"/>
    </row>
    <row r="48" spans="2:35" ht="16.5" customHeight="1">
      <c r="B48" s="400"/>
      <c r="C48" s="401"/>
      <c r="D48" s="401"/>
      <c r="E48" s="401"/>
      <c r="F48" s="401"/>
      <c r="G48" s="401"/>
      <c r="H48" s="401"/>
      <c r="I48" s="401"/>
      <c r="J48" s="401"/>
      <c r="K48" s="401"/>
      <c r="L48" s="401"/>
      <c r="M48" s="401"/>
      <c r="N48" s="401"/>
      <c r="O48" s="401"/>
      <c r="P48" s="401"/>
      <c r="Q48" s="401"/>
      <c r="R48" s="402"/>
      <c r="T48" s="10"/>
      <c r="U48" s="13" t="s">
        <v>824</v>
      </c>
      <c r="V48" s="13" t="s">
        <v>167</v>
      </c>
      <c r="W48" s="354">
        <f>W52*W$33/1000</f>
        <v>0</v>
      </c>
      <c r="X48" s="56"/>
      <c r="Y48" s="57"/>
      <c r="Z48" s="61"/>
      <c r="AA48" s="354">
        <f>AA52*AA$33/1000</f>
        <v>0</v>
      </c>
      <c r="AB48" s="13"/>
      <c r="AC48" s="57"/>
      <c r="AD48" s="13"/>
      <c r="AE48" s="354">
        <f>AE52*AP$32/1000</f>
        <v>0</v>
      </c>
      <c r="AF48" s="13"/>
      <c r="AG48" s="13"/>
      <c r="AH48" s="13"/>
      <c r="AI48" s="14"/>
    </row>
    <row r="49" spans="3:35" ht="18.75" customHeight="1">
      <c r="C49" s="1"/>
      <c r="H49" s="1"/>
      <c r="I49" s="1"/>
      <c r="J49" s="1"/>
      <c r="K49" s="1"/>
      <c r="L49" s="1"/>
      <c r="M49" s="1"/>
      <c r="N49" s="1"/>
      <c r="O49" s="1"/>
      <c r="P49" s="1"/>
      <c r="Q49" s="1"/>
      <c r="R49" s="1"/>
      <c r="T49" s="10"/>
      <c r="U49" s="13" t="s">
        <v>825</v>
      </c>
      <c r="V49" s="13" t="s">
        <v>167</v>
      </c>
      <c r="W49" s="354">
        <f>W53*W$33/1000</f>
        <v>0</v>
      </c>
      <c r="X49" s="13"/>
      <c r="Y49" s="57"/>
      <c r="Z49" s="61"/>
      <c r="AA49" s="354">
        <f>AA53*AA$33/1000</f>
        <v>0</v>
      </c>
      <c r="AB49" s="13"/>
      <c r="AC49" s="57"/>
      <c r="AD49" s="13"/>
      <c r="AE49" s="354">
        <f>AE53*AP$32/1000</f>
        <v>0</v>
      </c>
      <c r="AF49" s="13"/>
      <c r="AG49" s="13"/>
      <c r="AH49" s="13"/>
      <c r="AI49" s="14"/>
    </row>
    <row r="50" spans="2:35" ht="13.5" customHeight="1">
      <c r="B50" s="406" t="s">
        <v>816</v>
      </c>
      <c r="C50" s="407"/>
      <c r="D50" s="407"/>
      <c r="E50" s="407"/>
      <c r="F50" s="407"/>
      <c r="G50" s="407"/>
      <c r="H50" s="407"/>
      <c r="I50" s="407"/>
      <c r="J50" s="407"/>
      <c r="K50" s="407"/>
      <c r="L50" s="407"/>
      <c r="M50" s="407"/>
      <c r="N50" s="407"/>
      <c r="O50" s="407"/>
      <c r="P50" s="407"/>
      <c r="Q50" s="407"/>
      <c r="R50" s="408"/>
      <c r="T50" s="10"/>
      <c r="U50" s="361" t="s">
        <v>823</v>
      </c>
      <c r="V50" s="13"/>
      <c r="W50" s="22"/>
      <c r="X50" s="13"/>
      <c r="Y50" s="57"/>
      <c r="Z50" s="61"/>
      <c r="AA50" s="22"/>
      <c r="AB50" s="13"/>
      <c r="AC50" s="57"/>
      <c r="AD50" s="13"/>
      <c r="AE50" s="22"/>
      <c r="AF50" s="13"/>
      <c r="AG50" s="13"/>
      <c r="AH50" s="13"/>
      <c r="AI50" s="14"/>
    </row>
    <row r="51" spans="2:35" ht="13.5" customHeight="1">
      <c r="B51" s="403"/>
      <c r="C51" s="404"/>
      <c r="D51" s="404"/>
      <c r="E51" s="404"/>
      <c r="F51" s="404"/>
      <c r="G51" s="404"/>
      <c r="H51" s="404"/>
      <c r="I51" s="404"/>
      <c r="J51" s="404"/>
      <c r="K51" s="404"/>
      <c r="L51" s="404"/>
      <c r="M51" s="404"/>
      <c r="N51" s="404"/>
      <c r="O51" s="404"/>
      <c r="P51" s="404"/>
      <c r="Q51" s="404"/>
      <c r="R51" s="405"/>
      <c r="T51" s="10"/>
      <c r="U51" s="13" t="s">
        <v>826</v>
      </c>
      <c r="V51" s="22" t="s">
        <v>835</v>
      </c>
      <c r="W51" s="354">
        <f>IF(W42&gt;0,((AA18-$N21)*44/12)/(W$42/fuelFracC)*1000,0)</f>
        <v>0</v>
      </c>
      <c r="X51" s="13"/>
      <c r="Y51" s="57"/>
      <c r="Z51" s="61"/>
      <c r="AA51" s="354">
        <f>IF(AA42&gt;0,((AI18-$N21)*44/12)/(AA$42/fuelFracC)*1000,0)</f>
        <v>0</v>
      </c>
      <c r="AB51" s="13"/>
      <c r="AC51" s="57"/>
      <c r="AD51" s="13"/>
      <c r="AE51" s="354">
        <f>IF(AE42&gt;0,((AQ18-$N21)*44/12)/(AE$42/fuelFracC)*1000,0)</f>
        <v>0</v>
      </c>
      <c r="AF51" s="13"/>
      <c r="AG51" s="13"/>
      <c r="AH51" s="13"/>
      <c r="AI51" s="14"/>
    </row>
    <row r="52" spans="2:35" ht="13.5" customHeight="1">
      <c r="B52" s="105"/>
      <c r="C52" s="106"/>
      <c r="D52" s="106"/>
      <c r="E52" s="106"/>
      <c r="F52" s="106"/>
      <c r="G52" s="106"/>
      <c r="H52" s="106"/>
      <c r="I52" s="106"/>
      <c r="J52" s="106"/>
      <c r="K52" s="106"/>
      <c r="L52" s="106"/>
      <c r="M52" s="106"/>
      <c r="N52" s="106"/>
      <c r="O52" s="106"/>
      <c r="P52" s="106"/>
      <c r="Q52" s="106"/>
      <c r="R52" s="107"/>
      <c r="T52" s="10"/>
      <c r="U52" s="13" t="s">
        <v>824</v>
      </c>
      <c r="V52" s="22" t="s">
        <v>835</v>
      </c>
      <c r="W52" s="354">
        <f>IF(W42&gt;0,((AA19-$N22)*28/12)/(W$42/fuelFracC)*1000,0)</f>
        <v>0</v>
      </c>
      <c r="X52" s="13"/>
      <c r="Y52" s="57"/>
      <c r="Z52" s="61"/>
      <c r="AA52" s="354">
        <f>IF(AA42&gt;0,((AI19-$N22)*28/12)/(AA$42/fuelFracC)*1000,0)</f>
        <v>0</v>
      </c>
      <c r="AB52" s="13"/>
      <c r="AC52" s="57"/>
      <c r="AD52" s="13"/>
      <c r="AE52" s="354">
        <f>IF(AE42&gt;0,((AP19-$N22)*28/12)/(AE$42/fuelFracC)*1000,0)</f>
        <v>0</v>
      </c>
      <c r="AF52" s="13"/>
      <c r="AG52" s="13"/>
      <c r="AH52" s="13"/>
      <c r="AI52" s="14"/>
    </row>
    <row r="53" spans="2:35" ht="13.5" customHeight="1">
      <c r="B53" s="403"/>
      <c r="C53" s="404"/>
      <c r="D53" s="404"/>
      <c r="E53" s="404"/>
      <c r="F53" s="404"/>
      <c r="G53" s="404"/>
      <c r="H53" s="404"/>
      <c r="I53" s="404"/>
      <c r="J53" s="404"/>
      <c r="K53" s="404"/>
      <c r="L53" s="404"/>
      <c r="M53" s="404"/>
      <c r="N53" s="404"/>
      <c r="O53" s="404"/>
      <c r="P53" s="404"/>
      <c r="Q53" s="404"/>
      <c r="R53" s="405"/>
      <c r="T53" s="10"/>
      <c r="U53" s="13" t="s">
        <v>825</v>
      </c>
      <c r="V53" s="22" t="s">
        <v>835</v>
      </c>
      <c r="W53" s="354">
        <f>IF(W43&gt;0,(AA20-$N23)/(W$43/fuelFracC)*1000/1000000,0)</f>
        <v>0</v>
      </c>
      <c r="X53" s="13"/>
      <c r="Y53" s="57"/>
      <c r="Z53" s="61"/>
      <c r="AA53" s="354">
        <f>IF(AA43&gt;0,(AI20-$N23)/(AA$43/fuelFracC)*1000/1000000,0)</f>
        <v>0</v>
      </c>
      <c r="AB53" s="13"/>
      <c r="AC53" s="57"/>
      <c r="AD53" s="13"/>
      <c r="AE53" s="354">
        <f>IF(AE43&gt;0,(AP20-$N23)/(AE$43/fuelFracC)*1000/1000000,0)</f>
        <v>0</v>
      </c>
      <c r="AF53" s="13"/>
      <c r="AG53" s="13"/>
      <c r="AH53" s="13"/>
      <c r="AI53" s="14"/>
    </row>
    <row r="54" spans="2:35" ht="13.5" customHeight="1" thickBot="1">
      <c r="B54" s="403"/>
      <c r="C54" s="404"/>
      <c r="D54" s="404"/>
      <c r="E54" s="404"/>
      <c r="F54" s="404"/>
      <c r="G54" s="404"/>
      <c r="H54" s="404"/>
      <c r="I54" s="404"/>
      <c r="J54" s="404"/>
      <c r="K54" s="404"/>
      <c r="L54" s="404"/>
      <c r="M54" s="404"/>
      <c r="N54" s="404"/>
      <c r="O54" s="404"/>
      <c r="P54" s="404"/>
      <c r="Q54" s="404"/>
      <c r="R54" s="405"/>
      <c r="T54" s="10"/>
      <c r="U54" s="13"/>
      <c r="V54" s="13"/>
      <c r="W54" s="13"/>
      <c r="X54" s="13"/>
      <c r="Y54" s="57"/>
      <c r="Z54" s="61"/>
      <c r="AA54" s="13"/>
      <c r="AB54" s="13"/>
      <c r="AC54" s="57"/>
      <c r="AD54" s="13"/>
      <c r="AE54" s="13"/>
      <c r="AF54" s="13"/>
      <c r="AG54" s="13"/>
      <c r="AH54" s="13"/>
      <c r="AI54" s="14"/>
    </row>
    <row r="55" spans="2:35" ht="13.5" customHeight="1" thickTop="1">
      <c r="B55" s="403"/>
      <c r="C55" s="404"/>
      <c r="D55" s="404"/>
      <c r="E55" s="404"/>
      <c r="F55" s="404"/>
      <c r="G55" s="404"/>
      <c r="H55" s="404"/>
      <c r="I55" s="404"/>
      <c r="J55" s="404"/>
      <c r="K55" s="404"/>
      <c r="L55" s="404"/>
      <c r="M55" s="404"/>
      <c r="N55" s="404"/>
      <c r="O55" s="404"/>
      <c r="P55" s="404"/>
      <c r="Q55" s="404"/>
      <c r="R55" s="405"/>
      <c r="T55" s="357"/>
      <c r="U55" s="358" t="s">
        <v>832</v>
      </c>
      <c r="V55" s="358"/>
      <c r="W55" s="358"/>
      <c r="X55" s="358"/>
      <c r="Y55" s="358"/>
      <c r="Z55" s="358"/>
      <c r="AA55" s="358"/>
      <c r="AB55" s="358"/>
      <c r="AC55" s="358"/>
      <c r="AD55" s="358"/>
      <c r="AE55" s="358"/>
      <c r="AF55" s="358"/>
      <c r="AG55" s="358"/>
      <c r="AH55" s="358"/>
      <c r="AI55" s="362"/>
    </row>
    <row r="56" spans="2:35" ht="13.5" customHeight="1">
      <c r="B56" s="403"/>
      <c r="C56" s="404"/>
      <c r="D56" s="404"/>
      <c r="E56" s="404"/>
      <c r="F56" s="404"/>
      <c r="G56" s="404"/>
      <c r="H56" s="404"/>
      <c r="I56" s="404"/>
      <c r="J56" s="404"/>
      <c r="K56" s="404"/>
      <c r="L56" s="404"/>
      <c r="M56" s="404"/>
      <c r="N56" s="404"/>
      <c r="O56" s="404"/>
      <c r="P56" s="404"/>
      <c r="Q56" s="404"/>
      <c r="R56" s="405"/>
      <c r="T56" s="10"/>
      <c r="U56" s="13" t="s">
        <v>833</v>
      </c>
      <c r="V56" s="13" t="s">
        <v>23</v>
      </c>
      <c r="W56" s="354">
        <f>(IF(AA$34=0,W48,AVERAGE(W48,AA48))+AE48)*5</f>
        <v>0</v>
      </c>
      <c r="X56" s="13"/>
      <c r="Y56" s="13"/>
      <c r="Z56" s="13"/>
      <c r="AA56" s="13"/>
      <c r="AB56" s="13"/>
      <c r="AC56" s="13"/>
      <c r="AD56" s="13"/>
      <c r="AE56" s="13"/>
      <c r="AF56" s="13"/>
      <c r="AG56" s="13"/>
      <c r="AH56" s="13"/>
      <c r="AI56" s="14"/>
    </row>
    <row r="57" spans="2:35" ht="13.5" customHeight="1" thickBot="1">
      <c r="B57" s="105"/>
      <c r="C57" s="106"/>
      <c r="D57" s="106"/>
      <c r="E57" s="106"/>
      <c r="F57" s="106"/>
      <c r="G57" s="106"/>
      <c r="H57" s="106"/>
      <c r="I57" s="106"/>
      <c r="J57" s="106"/>
      <c r="K57" s="106"/>
      <c r="L57" s="106"/>
      <c r="M57" s="106"/>
      <c r="N57" s="106"/>
      <c r="O57" s="106"/>
      <c r="P57" s="106"/>
      <c r="Q57" s="106"/>
      <c r="R57" s="107"/>
      <c r="T57" s="121"/>
      <c r="U57" s="122" t="s">
        <v>834</v>
      </c>
      <c r="V57" s="122" t="s">
        <v>23</v>
      </c>
      <c r="W57" s="371">
        <f>(IF(AA$34=0,W49,AVERAGE(W49,AA49))+AE49)*5</f>
        <v>0</v>
      </c>
      <c r="X57" s="122"/>
      <c r="Y57" s="122"/>
      <c r="Z57" s="122"/>
      <c r="AA57" s="122"/>
      <c r="AB57" s="122"/>
      <c r="AC57" s="122"/>
      <c r="AD57" s="122"/>
      <c r="AE57" s="122"/>
      <c r="AF57" s="122"/>
      <c r="AG57" s="122"/>
      <c r="AH57" s="122"/>
      <c r="AI57" s="124"/>
    </row>
    <row r="58" spans="2:18" ht="13.5" customHeight="1" thickTop="1">
      <c r="B58" s="403"/>
      <c r="C58" s="404"/>
      <c r="D58" s="404"/>
      <c r="E58" s="404"/>
      <c r="F58" s="404"/>
      <c r="G58" s="404"/>
      <c r="H58" s="404"/>
      <c r="I58" s="404"/>
      <c r="J58" s="404"/>
      <c r="K58" s="404"/>
      <c r="L58" s="404"/>
      <c r="M58" s="404"/>
      <c r="N58" s="404"/>
      <c r="O58" s="404"/>
      <c r="P58" s="404"/>
      <c r="Q58" s="404"/>
      <c r="R58" s="405"/>
    </row>
    <row r="59" spans="2:18" ht="13.5" customHeight="1">
      <c r="B59" s="400"/>
      <c r="C59" s="401"/>
      <c r="D59" s="401"/>
      <c r="E59" s="401"/>
      <c r="F59" s="401"/>
      <c r="G59" s="401"/>
      <c r="H59" s="401"/>
      <c r="I59" s="401"/>
      <c r="J59" s="401"/>
      <c r="K59" s="401"/>
      <c r="L59" s="401"/>
      <c r="M59" s="401"/>
      <c r="N59" s="401"/>
      <c r="O59" s="401"/>
      <c r="P59" s="401"/>
      <c r="Q59" s="401"/>
      <c r="R59" s="402"/>
    </row>
    <row r="61" spans="2:18" ht="15.75" customHeight="1">
      <c r="B61" s="406" t="s">
        <v>817</v>
      </c>
      <c r="C61" s="407"/>
      <c r="D61" s="407"/>
      <c r="E61" s="407"/>
      <c r="F61" s="407"/>
      <c r="G61" s="407"/>
      <c r="H61" s="407"/>
      <c r="I61" s="407"/>
      <c r="J61" s="407"/>
      <c r="K61" s="407"/>
      <c r="L61" s="407"/>
      <c r="M61" s="407"/>
      <c r="N61" s="407"/>
      <c r="O61" s="407"/>
      <c r="P61" s="407"/>
      <c r="Q61" s="407"/>
      <c r="R61" s="408"/>
    </row>
    <row r="62" spans="2:18" ht="15.75" customHeight="1">
      <c r="B62" s="403"/>
      <c r="C62" s="404"/>
      <c r="D62" s="404"/>
      <c r="E62" s="404"/>
      <c r="F62" s="404"/>
      <c r="G62" s="404"/>
      <c r="H62" s="404"/>
      <c r="I62" s="404"/>
      <c r="J62" s="404"/>
      <c r="K62" s="404"/>
      <c r="L62" s="404"/>
      <c r="M62" s="404"/>
      <c r="N62" s="404"/>
      <c r="O62" s="404"/>
      <c r="P62" s="404"/>
      <c r="Q62" s="404"/>
      <c r="R62" s="405"/>
    </row>
    <row r="63" spans="2:18" ht="15.75" customHeight="1">
      <c r="B63" s="105"/>
      <c r="C63" s="106"/>
      <c r="D63" s="106"/>
      <c r="E63" s="106"/>
      <c r="F63" s="106"/>
      <c r="G63" s="106"/>
      <c r="H63" s="106"/>
      <c r="I63" s="106"/>
      <c r="J63" s="106"/>
      <c r="K63" s="106"/>
      <c r="L63" s="106"/>
      <c r="M63" s="106"/>
      <c r="N63" s="106"/>
      <c r="O63" s="106"/>
      <c r="P63" s="106"/>
      <c r="Q63" s="106"/>
      <c r="R63" s="107"/>
    </row>
    <row r="64" spans="2:18" ht="15.75" customHeight="1">
      <c r="B64" s="403"/>
      <c r="C64" s="404"/>
      <c r="D64" s="404"/>
      <c r="E64" s="404"/>
      <c r="F64" s="404"/>
      <c r="G64" s="404"/>
      <c r="H64" s="404"/>
      <c r="I64" s="404"/>
      <c r="J64" s="404"/>
      <c r="K64" s="404"/>
      <c r="L64" s="404"/>
      <c r="M64" s="404"/>
      <c r="N64" s="404"/>
      <c r="O64" s="404"/>
      <c r="P64" s="404"/>
      <c r="Q64" s="404"/>
      <c r="R64" s="405"/>
    </row>
    <row r="65" spans="2:18" ht="15.75" customHeight="1">
      <c r="B65" s="403"/>
      <c r="C65" s="404"/>
      <c r="D65" s="404"/>
      <c r="E65" s="404"/>
      <c r="F65" s="404"/>
      <c r="G65" s="404"/>
      <c r="H65" s="404"/>
      <c r="I65" s="404"/>
      <c r="J65" s="404"/>
      <c r="K65" s="404"/>
      <c r="L65" s="404"/>
      <c r="M65" s="404"/>
      <c r="N65" s="404"/>
      <c r="O65" s="404"/>
      <c r="P65" s="404"/>
      <c r="Q65" s="404"/>
      <c r="R65" s="405"/>
    </row>
    <row r="66" spans="2:18" ht="15.75" customHeight="1">
      <c r="B66" s="403"/>
      <c r="C66" s="404"/>
      <c r="D66" s="404"/>
      <c r="E66" s="404"/>
      <c r="F66" s="404"/>
      <c r="G66" s="404"/>
      <c r="H66" s="404"/>
      <c r="I66" s="404"/>
      <c r="J66" s="404"/>
      <c r="K66" s="404"/>
      <c r="L66" s="404"/>
      <c r="M66" s="404"/>
      <c r="N66" s="404"/>
      <c r="O66" s="404"/>
      <c r="P66" s="404"/>
      <c r="Q66" s="404"/>
      <c r="R66" s="405"/>
    </row>
    <row r="67" spans="2:18" ht="15.75" customHeight="1">
      <c r="B67" s="403"/>
      <c r="C67" s="404"/>
      <c r="D67" s="404"/>
      <c r="E67" s="404"/>
      <c r="F67" s="404"/>
      <c r="G67" s="404"/>
      <c r="H67" s="404"/>
      <c r="I67" s="404"/>
      <c r="J67" s="404"/>
      <c r="K67" s="404"/>
      <c r="L67" s="404"/>
      <c r="M67" s="404"/>
      <c r="N67" s="404"/>
      <c r="O67" s="404"/>
      <c r="P67" s="404"/>
      <c r="Q67" s="404"/>
      <c r="R67" s="405"/>
    </row>
    <row r="68" spans="2:18" ht="15.75" customHeight="1">
      <c r="B68" s="105"/>
      <c r="C68" s="106"/>
      <c r="D68" s="106"/>
      <c r="E68" s="106"/>
      <c r="F68" s="106"/>
      <c r="G68" s="106"/>
      <c r="H68" s="106"/>
      <c r="I68" s="106"/>
      <c r="J68" s="106"/>
      <c r="K68" s="106"/>
      <c r="L68" s="106"/>
      <c r="M68" s="106"/>
      <c r="N68" s="106"/>
      <c r="O68" s="106"/>
      <c r="P68" s="106"/>
      <c r="Q68" s="106"/>
      <c r="R68" s="107"/>
    </row>
    <row r="69" spans="2:18" ht="15.75" customHeight="1">
      <c r="B69" s="403"/>
      <c r="C69" s="404"/>
      <c r="D69" s="404"/>
      <c r="E69" s="404"/>
      <c r="F69" s="404"/>
      <c r="G69" s="404"/>
      <c r="H69" s="404"/>
      <c r="I69" s="404"/>
      <c r="J69" s="404"/>
      <c r="K69" s="404"/>
      <c r="L69" s="404"/>
      <c r="M69" s="404"/>
      <c r="N69" s="404"/>
      <c r="O69" s="404"/>
      <c r="P69" s="404"/>
      <c r="Q69" s="404"/>
      <c r="R69" s="405"/>
    </row>
    <row r="70" spans="2:18" ht="15" customHeight="1">
      <c r="B70" s="400"/>
      <c r="C70" s="401"/>
      <c r="D70" s="401"/>
      <c r="E70" s="401"/>
      <c r="F70" s="401"/>
      <c r="G70" s="401"/>
      <c r="H70" s="401"/>
      <c r="I70" s="401"/>
      <c r="J70" s="401"/>
      <c r="K70" s="401"/>
      <c r="L70" s="401"/>
      <c r="M70" s="401"/>
      <c r="N70" s="401"/>
      <c r="O70" s="401"/>
      <c r="P70" s="401"/>
      <c r="Q70" s="401"/>
      <c r="R70" s="402"/>
    </row>
  </sheetData>
  <sheetProtection/>
  <mergeCells count="73">
    <mergeCell ref="B35:R35"/>
    <mergeCell ref="B34:R34"/>
    <mergeCell ref="B32:R32"/>
    <mergeCell ref="B31:R31"/>
    <mergeCell ref="B30:R30"/>
    <mergeCell ref="B29:R29"/>
    <mergeCell ref="B15:D15"/>
    <mergeCell ref="K15:M15"/>
    <mergeCell ref="K17:M17"/>
    <mergeCell ref="B20:D20"/>
    <mergeCell ref="K18:M18"/>
    <mergeCell ref="E17:G17"/>
    <mergeCell ref="K19:M19"/>
    <mergeCell ref="K20:M20"/>
    <mergeCell ref="B19:D19"/>
    <mergeCell ref="B27:R27"/>
    <mergeCell ref="B18:D18"/>
    <mergeCell ref="W16:X16"/>
    <mergeCell ref="AE16:AF16"/>
    <mergeCell ref="AL16:AM16"/>
    <mergeCell ref="B16:D16"/>
    <mergeCell ref="K16:M16"/>
    <mergeCell ref="B21:D21"/>
    <mergeCell ref="E25:R25"/>
    <mergeCell ref="B23:D23"/>
    <mergeCell ref="AA4:AB4"/>
    <mergeCell ref="AI4:AJ4"/>
    <mergeCell ref="D8:K8"/>
    <mergeCell ref="D9:K9"/>
    <mergeCell ref="M6:P6"/>
    <mergeCell ref="M7:P7"/>
    <mergeCell ref="D6:K6"/>
    <mergeCell ref="D7:K7"/>
    <mergeCell ref="AL2:AQ2"/>
    <mergeCell ref="AL3:AM3"/>
    <mergeCell ref="AP3:AQ3"/>
    <mergeCell ref="AE3:AF3"/>
    <mergeCell ref="AI3:AJ3"/>
    <mergeCell ref="W3:X3"/>
    <mergeCell ref="AA3:AB3"/>
    <mergeCell ref="W2:AB2"/>
    <mergeCell ref="AE2:AJ2"/>
    <mergeCell ref="AL4:AM4"/>
    <mergeCell ref="AP4:AQ4"/>
    <mergeCell ref="B47:R47"/>
    <mergeCell ref="D10:K10"/>
    <mergeCell ref="B14:D14"/>
    <mergeCell ref="D11:K11"/>
    <mergeCell ref="A2:S2"/>
    <mergeCell ref="B48:R48"/>
    <mergeCell ref="B40:R40"/>
    <mergeCell ref="B39:R39"/>
    <mergeCell ref="B42:R42"/>
    <mergeCell ref="B43:R43"/>
    <mergeCell ref="B44:R44"/>
    <mergeCell ref="B45:R45"/>
    <mergeCell ref="B56:R56"/>
    <mergeCell ref="B58:R58"/>
    <mergeCell ref="B59:R59"/>
    <mergeCell ref="B50:R50"/>
    <mergeCell ref="B51:R51"/>
    <mergeCell ref="B53:R53"/>
    <mergeCell ref="B54:R54"/>
    <mergeCell ref="B70:R70"/>
    <mergeCell ref="B26:R26"/>
    <mergeCell ref="B66:R66"/>
    <mergeCell ref="B67:R67"/>
    <mergeCell ref="B69:R69"/>
    <mergeCell ref="B61:R61"/>
    <mergeCell ref="B62:R62"/>
    <mergeCell ref="B64:R64"/>
    <mergeCell ref="B65:R65"/>
    <mergeCell ref="B55:R55"/>
  </mergeCells>
  <printOptions/>
  <pageMargins left="0.7479166666666667" right="0.7479166666666667" top="0.75" bottom="0.75" header="0.5118055555555555" footer="0.5"/>
  <pageSetup horizontalDpi="300" verticalDpi="300" orientation="landscape" scale="90" r:id="rId4"/>
  <headerFooter alignWithMargins="0">
    <oddFooter>&amp;L&amp;F&amp;C&amp;A&amp;RPage &amp;P</oddFooter>
  </headerFooter>
  <rowBreaks count="1" manualBreakCount="1">
    <brk id="37" max="255" man="1"/>
  </rowBreaks>
  <colBreaks count="2" manualBreakCount="2">
    <brk id="19"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X45"/>
  <sheetViews>
    <sheetView showGridLines="0" showZeros="0" view="pageBreakPreview" zoomScale="80" zoomScaleSheetLayoutView="80" zoomScalePageLayoutView="0" workbookViewId="0" topLeftCell="A4">
      <selection activeCell="G40" sqref="G40"/>
    </sheetView>
  </sheetViews>
  <sheetFormatPr defaultColWidth="9.140625" defaultRowHeight="12.75"/>
  <cols>
    <col min="1" max="1" width="1.7109375" style="127" customWidth="1"/>
    <col min="2" max="2" width="3.57421875" style="127" customWidth="1"/>
    <col min="3" max="3" width="11.28125" style="127" customWidth="1"/>
    <col min="4" max="4" width="30.00390625" style="127" customWidth="1"/>
    <col min="5" max="5" width="8.00390625" style="127" customWidth="1"/>
    <col min="6" max="6" width="6.7109375" style="128" customWidth="1"/>
    <col min="7" max="9" width="8.7109375" style="129" customWidth="1"/>
    <col min="10" max="10" width="10.7109375" style="130" customWidth="1"/>
    <col min="11" max="11" width="10.8515625" style="130" customWidth="1"/>
    <col min="12" max="12" width="7.8515625" style="127" customWidth="1"/>
    <col min="13" max="13" width="3.57421875" style="127" customWidth="1"/>
    <col min="14" max="14" width="1.7109375" style="127" customWidth="1"/>
    <col min="15" max="16384" width="9.140625" style="127" customWidth="1"/>
  </cols>
  <sheetData>
    <row r="1" spans="1:14" ht="18" customHeight="1" thickTop="1">
      <c r="A1" s="131"/>
      <c r="B1" s="132"/>
      <c r="C1" s="307" t="str">
        <f>"WATER BOILING TEST - VERSION "&amp;version</f>
        <v>WATER BOILING TEST - VERSION 4.1.2</v>
      </c>
      <c r="D1" s="133"/>
      <c r="E1" s="133"/>
      <c r="F1" s="310" t="s">
        <v>764</v>
      </c>
      <c r="G1" s="435">
        <f>'General Information'!C4</f>
        <v>0</v>
      </c>
      <c r="H1" s="435"/>
      <c r="I1" s="134"/>
      <c r="J1" s="135"/>
      <c r="K1" s="135"/>
      <c r="L1" s="132"/>
      <c r="M1" s="132"/>
      <c r="N1" s="136"/>
    </row>
    <row r="2" spans="1:14" ht="18" customHeight="1">
      <c r="A2" s="137"/>
      <c r="B2" s="138"/>
      <c r="C2" s="309" t="s">
        <v>765</v>
      </c>
      <c r="D2" s="208"/>
      <c r="E2" s="208"/>
      <c r="F2" s="208"/>
      <c r="G2" s="306"/>
      <c r="H2" s="306"/>
      <c r="L2" s="138"/>
      <c r="M2" s="138"/>
      <c r="N2" s="140"/>
    </row>
    <row r="3" spans="1:14" ht="18" customHeight="1">
      <c r="A3" s="137"/>
      <c r="B3" s="138"/>
      <c r="C3" s="139" t="s">
        <v>46</v>
      </c>
      <c r="E3" s="139"/>
      <c r="F3" s="436">
        <f>'General Information'!C8</f>
        <v>0</v>
      </c>
      <c r="G3" s="436"/>
      <c r="H3" s="436"/>
      <c r="I3" s="436"/>
      <c r="J3" s="436"/>
      <c r="K3" s="436"/>
      <c r="L3" s="436"/>
      <c r="M3" s="138"/>
      <c r="N3" s="140"/>
    </row>
    <row r="4" spans="1:14" ht="18" customHeight="1">
      <c r="A4" s="137"/>
      <c r="B4" s="138"/>
      <c r="C4" s="139" t="s">
        <v>53</v>
      </c>
      <c r="E4" s="139"/>
      <c r="F4" s="436">
        <f>'General Information'!C6</f>
        <v>0</v>
      </c>
      <c r="G4" s="436"/>
      <c r="H4" s="436"/>
      <c r="I4" s="436"/>
      <c r="J4" s="436"/>
      <c r="K4" s="436"/>
      <c r="L4" s="436"/>
      <c r="M4" s="138"/>
      <c r="N4" s="140"/>
    </row>
    <row r="5" spans="1:14" ht="18" customHeight="1">
      <c r="A5" s="137"/>
      <c r="B5" s="138"/>
      <c r="C5" s="273" t="s">
        <v>766</v>
      </c>
      <c r="E5" s="139"/>
      <c r="F5" s="434" t="str">
        <f>'General Information'!J3&amp;" "&amp;IF('General Information'!J4=1,"",VLOOKUP('General Information'!J4,FuelCalorific,2,FALSE))</f>
        <v> </v>
      </c>
      <c r="G5" s="434"/>
      <c r="H5" s="434"/>
      <c r="I5" s="434"/>
      <c r="J5" s="434"/>
      <c r="K5" s="434"/>
      <c r="L5" s="434"/>
      <c r="M5" s="138"/>
      <c r="N5" s="140"/>
    </row>
    <row r="6" spans="1:14" ht="18" customHeight="1">
      <c r="A6" s="137"/>
      <c r="B6" s="138"/>
      <c r="C6" s="273" t="s">
        <v>733</v>
      </c>
      <c r="E6" s="139"/>
      <c r="F6" s="434" t="str">
        <f>VLOOKUP('Test-1'!E16,WindConditions,2,FALSE)&amp;"; "&amp;VLOOKUP('Test-2'!E16,WindConditions,2,FALSE)&amp;"; "&amp;VLOOKUP('Test-3'!E16,WindConditions,2,FALSE)</f>
        <v>(Select from list); (Select from list); (Select from list)</v>
      </c>
      <c r="G6" s="434"/>
      <c r="H6" s="434"/>
      <c r="I6" s="434"/>
      <c r="J6" s="434"/>
      <c r="K6" s="434"/>
      <c r="L6" s="434"/>
      <c r="M6" s="138"/>
      <c r="N6" s="140"/>
    </row>
    <row r="7" spans="1:14" ht="18" customHeight="1">
      <c r="A7" s="137"/>
      <c r="B7" s="138"/>
      <c r="C7" s="308" t="s">
        <v>763</v>
      </c>
      <c r="E7" s="139"/>
      <c r="F7" s="434" t="str">
        <f>'Test-1'!E15&amp;"; "&amp;'Test-2'!E15&amp;"; "&amp;'Test-3'!E15</f>
        <v>; 25; 25</v>
      </c>
      <c r="G7" s="434"/>
      <c r="H7" s="434"/>
      <c r="I7" s="434"/>
      <c r="J7" s="434"/>
      <c r="K7" s="434"/>
      <c r="L7" s="434"/>
      <c r="M7" s="138"/>
      <c r="N7" s="140"/>
    </row>
    <row r="8" spans="1:14" ht="9" customHeight="1">
      <c r="A8" s="137"/>
      <c r="B8" s="138"/>
      <c r="C8" s="138"/>
      <c r="D8" s="138"/>
      <c r="E8" s="138"/>
      <c r="F8" s="141"/>
      <c r="L8" s="138"/>
      <c r="N8" s="140"/>
    </row>
    <row r="9" spans="1:24" ht="18" customHeight="1">
      <c r="A9" s="137"/>
      <c r="B9" s="138"/>
      <c r="C9" s="138"/>
      <c r="D9" s="142" t="s">
        <v>195</v>
      </c>
      <c r="E9" s="143"/>
      <c r="F9" s="144" t="s">
        <v>93</v>
      </c>
      <c r="G9" s="145" t="s">
        <v>196</v>
      </c>
      <c r="H9" s="145" t="s">
        <v>197</v>
      </c>
      <c r="I9" s="145" t="s">
        <v>198</v>
      </c>
      <c r="J9" s="146" t="s">
        <v>199</v>
      </c>
      <c r="K9" s="147" t="s">
        <v>200</v>
      </c>
      <c r="L9" s="147" t="s">
        <v>201</v>
      </c>
      <c r="N9" s="140"/>
      <c r="Q9" s="139"/>
      <c r="R9" s="139"/>
      <c r="S9" s="139"/>
      <c r="T9" s="139"/>
      <c r="U9" s="139"/>
      <c r="W9" s="139"/>
      <c r="X9" s="139"/>
    </row>
    <row r="10" spans="1:15" ht="18" customHeight="1">
      <c r="A10" s="137"/>
      <c r="B10" s="138"/>
      <c r="C10" s="138"/>
      <c r="D10" s="148" t="s">
        <v>148</v>
      </c>
      <c r="E10" s="149"/>
      <c r="F10" s="141" t="s">
        <v>149</v>
      </c>
      <c r="G10" s="150">
        <f>'Test-1'!$W29</f>
        <v>0</v>
      </c>
      <c r="H10" s="150">
        <f>'Test-2'!$W29</f>
        <v>0</v>
      </c>
      <c r="I10" s="150">
        <f>'Test-3'!$W29</f>
        <v>0</v>
      </c>
      <c r="J10" s="151">
        <f aca="true" t="shared" si="0" ref="J10:J17">SUMIF(G10:I10,"&gt;0",G10:I10)/IF(G10=0,1,COUNTIF(G10:I10,"&gt;0"))</f>
        <v>0</v>
      </c>
      <c r="K10" s="152">
        <f aca="true" t="shared" si="1" ref="K10:K17">IF(PRODUCT(G10:I10)=0,0,STDEV(G10:I10))</f>
        <v>0</v>
      </c>
      <c r="L10" s="153">
        <f>IF(J10=0,0,K10/J10)</f>
        <v>0</v>
      </c>
      <c r="N10" s="140"/>
      <c r="O10" s="2"/>
    </row>
    <row r="11" spans="1:15" ht="18" customHeight="1">
      <c r="A11" s="137"/>
      <c r="B11" s="138"/>
      <c r="C11" s="138"/>
      <c r="D11" s="148" t="s">
        <v>202</v>
      </c>
      <c r="E11" s="149"/>
      <c r="F11" s="141" t="s">
        <v>149</v>
      </c>
      <c r="G11" s="150">
        <f>'Test-1'!$W30</f>
        <v>0</v>
      </c>
      <c r="H11" s="150">
        <f>'Test-2'!$W30</f>
        <v>0</v>
      </c>
      <c r="I11" s="150">
        <f>'Test-3'!$W30</f>
        <v>0</v>
      </c>
      <c r="J11" s="151">
        <f t="shared" si="0"/>
        <v>0</v>
      </c>
      <c r="K11" s="152">
        <f t="shared" si="1"/>
        <v>0</v>
      </c>
      <c r="L11" s="153">
        <f aca="true" t="shared" si="2" ref="L11:L17">IF(J11=0,0,K11/J11)</f>
        <v>0</v>
      </c>
      <c r="N11" s="140"/>
      <c r="O11" s="2"/>
    </row>
    <row r="12" spans="1:15" ht="18" customHeight="1">
      <c r="A12" s="137"/>
      <c r="B12" s="138"/>
      <c r="C12" s="138"/>
      <c r="D12" s="148" t="s">
        <v>161</v>
      </c>
      <c r="E12" s="149"/>
      <c r="F12" s="141" t="s">
        <v>162</v>
      </c>
      <c r="G12" s="150">
        <f>'Test-1'!$W32</f>
        <v>0</v>
      </c>
      <c r="H12" s="150">
        <f>'Test-2'!$W32</f>
        <v>0</v>
      </c>
      <c r="I12" s="150">
        <f>'Test-3'!$W32</f>
        <v>0</v>
      </c>
      <c r="J12" s="151">
        <f t="shared" si="0"/>
        <v>0</v>
      </c>
      <c r="K12" s="152">
        <f t="shared" si="1"/>
        <v>0</v>
      </c>
      <c r="L12" s="153">
        <f t="shared" si="2"/>
        <v>0</v>
      </c>
      <c r="N12" s="140"/>
      <c r="O12" s="2"/>
    </row>
    <row r="13" spans="1:15" ht="18" customHeight="1">
      <c r="A13" s="137"/>
      <c r="B13" s="138"/>
      <c r="C13" s="138"/>
      <c r="D13" s="148" t="s">
        <v>157</v>
      </c>
      <c r="E13" s="149"/>
      <c r="F13" s="141" t="s">
        <v>116</v>
      </c>
      <c r="G13" s="154" t="e">
        <f>'Test-1'!$W31</f>
        <v>#DIV/0!</v>
      </c>
      <c r="H13" s="154" t="e">
        <f>'Test-2'!$W31</f>
        <v>#DIV/0!</v>
      </c>
      <c r="I13" s="154" t="e">
        <f>'Test-3'!$W31</f>
        <v>#DIV/0!</v>
      </c>
      <c r="J13" s="155" t="e">
        <f t="shared" si="0"/>
        <v>#DIV/0!</v>
      </c>
      <c r="K13" s="153" t="e">
        <f t="shared" si="1"/>
        <v>#DIV/0!</v>
      </c>
      <c r="L13" s="153" t="e">
        <f t="shared" si="2"/>
        <v>#DIV/0!</v>
      </c>
      <c r="N13" s="140"/>
      <c r="O13" s="2"/>
    </row>
    <row r="14" spans="1:15" ht="18" customHeight="1">
      <c r="A14" s="137"/>
      <c r="B14" s="138"/>
      <c r="C14" s="138"/>
      <c r="D14" s="148" t="s">
        <v>166</v>
      </c>
      <c r="E14" s="149"/>
      <c r="F14" s="141" t="s">
        <v>167</v>
      </c>
      <c r="G14" s="150">
        <f>'Test-1'!$W33</f>
        <v>0</v>
      </c>
      <c r="H14" s="150">
        <f>'Test-2'!$W33</f>
        <v>0</v>
      </c>
      <c r="I14" s="150">
        <f>'Test-3'!$W33</f>
        <v>0</v>
      </c>
      <c r="J14" s="151">
        <f t="shared" si="0"/>
        <v>0</v>
      </c>
      <c r="K14" s="152">
        <f t="shared" si="1"/>
        <v>0</v>
      </c>
      <c r="L14" s="153">
        <f t="shared" si="2"/>
        <v>0</v>
      </c>
      <c r="N14" s="140"/>
      <c r="O14" s="2"/>
    </row>
    <row r="15" spans="1:15" ht="18" customHeight="1">
      <c r="A15" s="137"/>
      <c r="B15" s="138"/>
      <c r="C15" s="138"/>
      <c r="D15" s="148" t="s">
        <v>203</v>
      </c>
      <c r="E15" s="149"/>
      <c r="F15" s="141" t="s">
        <v>167</v>
      </c>
      <c r="G15" s="150">
        <f>'Test-1'!$W34</f>
        <v>0</v>
      </c>
      <c r="H15" s="150">
        <f>'Test-2'!$W34</f>
        <v>0</v>
      </c>
      <c r="I15" s="150">
        <f>'Test-3'!$W34</f>
        <v>0</v>
      </c>
      <c r="J15" s="151">
        <f t="shared" si="0"/>
        <v>0</v>
      </c>
      <c r="K15" s="152">
        <f t="shared" si="1"/>
        <v>0</v>
      </c>
      <c r="L15" s="153">
        <f t="shared" si="2"/>
        <v>0</v>
      </c>
      <c r="N15" s="140"/>
      <c r="O15" s="2"/>
    </row>
    <row r="16" spans="1:15" ht="18" customHeight="1">
      <c r="A16" s="137"/>
      <c r="B16" s="138"/>
      <c r="C16" s="138"/>
      <c r="D16" s="148" t="s">
        <v>204</v>
      </c>
      <c r="E16" s="149"/>
      <c r="F16" s="141" t="s">
        <v>180</v>
      </c>
      <c r="G16" s="150">
        <f>'Test-1'!$W35</f>
        <v>0</v>
      </c>
      <c r="H16" s="150">
        <f>'Test-2'!$W35</f>
        <v>0</v>
      </c>
      <c r="I16" s="150">
        <f>'Test-3'!$W35</f>
        <v>0</v>
      </c>
      <c r="J16" s="151">
        <f>SUMIF(G16:I16,"&gt;0",G16:I16)/IF(G16=0,1,COUNTIF(G16:I16,"&gt;0"))</f>
        <v>0</v>
      </c>
      <c r="K16" s="152">
        <f>IF(PRODUCT(G16:I16)=0,0,STDEV(G16:I16))</f>
        <v>0</v>
      </c>
      <c r="L16" s="153">
        <f t="shared" si="2"/>
        <v>0</v>
      </c>
      <c r="N16" s="140"/>
      <c r="O16" s="2"/>
    </row>
    <row r="17" spans="1:15" ht="18" customHeight="1">
      <c r="A17" s="137"/>
      <c r="B17" s="138"/>
      <c r="C17" s="138"/>
      <c r="D17" s="156" t="s">
        <v>171</v>
      </c>
      <c r="E17" s="157"/>
      <c r="F17" s="158" t="s">
        <v>172</v>
      </c>
      <c r="G17" s="159">
        <f>'Test-1'!$W36</f>
        <v>0</v>
      </c>
      <c r="H17" s="159">
        <f>'Test-2'!$W36</f>
        <v>0</v>
      </c>
      <c r="I17" s="159">
        <f>'Test-3'!$W36</f>
        <v>0</v>
      </c>
      <c r="J17" s="160">
        <f t="shared" si="0"/>
        <v>0</v>
      </c>
      <c r="K17" s="161">
        <f t="shared" si="1"/>
        <v>0</v>
      </c>
      <c r="L17" s="162">
        <f t="shared" si="2"/>
        <v>0</v>
      </c>
      <c r="N17" s="140"/>
      <c r="O17" s="2"/>
    </row>
    <row r="18" spans="1:14" ht="9" customHeight="1">
      <c r="A18" s="137"/>
      <c r="B18" s="138"/>
      <c r="C18" s="138"/>
      <c r="D18" s="138"/>
      <c r="E18" s="138"/>
      <c r="F18" s="141"/>
      <c r="J18" s="163"/>
      <c r="K18" s="129"/>
      <c r="L18" s="154"/>
      <c r="N18" s="140"/>
    </row>
    <row r="19" spans="1:14" ht="18" customHeight="1">
      <c r="A19" s="137"/>
      <c r="B19" s="138"/>
      <c r="C19" s="138"/>
      <c r="D19" s="142" t="s">
        <v>205</v>
      </c>
      <c r="E19" s="143"/>
      <c r="F19" s="144" t="s">
        <v>93</v>
      </c>
      <c r="G19" s="145" t="s">
        <v>196</v>
      </c>
      <c r="H19" s="145" t="s">
        <v>197</v>
      </c>
      <c r="I19" s="145" t="s">
        <v>198</v>
      </c>
      <c r="J19" s="164" t="s">
        <v>199</v>
      </c>
      <c r="K19" s="147" t="s">
        <v>200</v>
      </c>
      <c r="L19" s="165" t="s">
        <v>201</v>
      </c>
      <c r="N19" s="140"/>
    </row>
    <row r="20" spans="1:14" ht="18" customHeight="1">
      <c r="A20" s="137"/>
      <c r="B20" s="138"/>
      <c r="C20" s="138"/>
      <c r="D20" s="148" t="s">
        <v>148</v>
      </c>
      <c r="E20" s="149"/>
      <c r="F20" s="141" t="s">
        <v>149</v>
      </c>
      <c r="G20" s="150">
        <f>'Test-1'!$AA29</f>
        <v>0</v>
      </c>
      <c r="H20" s="150">
        <f>'Test-2'!$AA29</f>
        <v>0</v>
      </c>
      <c r="I20" s="150">
        <f>'Test-3'!$AA29</f>
        <v>0</v>
      </c>
      <c r="J20" s="151">
        <f aca="true" t="shared" si="3" ref="J20:J27">SUMIF(G20:I20,"&gt;0",G20:I20)/IF(G20=0,1,COUNTIF(G20:I20,"&gt;0"))</f>
        <v>0</v>
      </c>
      <c r="K20" s="152">
        <f aca="true" t="shared" si="4" ref="K20:K27">IF(PRODUCT(G20:I20)=0,0,STDEV(G20:I20))</f>
        <v>0</v>
      </c>
      <c r="L20" s="166">
        <f aca="true" t="shared" si="5" ref="L20:L27">IF(J20=0,0,K20/J20)</f>
        <v>0</v>
      </c>
      <c r="N20" s="140"/>
    </row>
    <row r="21" spans="1:14" ht="18" customHeight="1">
      <c r="A21" s="137"/>
      <c r="B21" s="138"/>
      <c r="C21" s="138"/>
      <c r="D21" s="148" t="s">
        <v>202</v>
      </c>
      <c r="E21" s="149"/>
      <c r="F21" s="141" t="s">
        <v>149</v>
      </c>
      <c r="G21" s="150">
        <f>'Test-1'!$AA30</f>
        <v>0</v>
      </c>
      <c r="H21" s="150">
        <f>'Test-2'!$AA30</f>
        <v>0</v>
      </c>
      <c r="I21" s="150">
        <f>'Test-3'!$AA30</f>
        <v>0</v>
      </c>
      <c r="J21" s="151">
        <f t="shared" si="3"/>
        <v>0</v>
      </c>
      <c r="K21" s="152">
        <f t="shared" si="4"/>
        <v>0</v>
      </c>
      <c r="L21" s="153">
        <f t="shared" si="5"/>
        <v>0</v>
      </c>
      <c r="N21" s="140"/>
    </row>
    <row r="22" spans="1:14" ht="18" customHeight="1">
      <c r="A22" s="137"/>
      <c r="B22" s="138"/>
      <c r="C22" s="138"/>
      <c r="D22" s="148" t="s">
        <v>161</v>
      </c>
      <c r="E22" s="149"/>
      <c r="F22" s="141" t="s">
        <v>162</v>
      </c>
      <c r="G22" s="150">
        <f>'Test-1'!$AA32</f>
        <v>0</v>
      </c>
      <c r="H22" s="150">
        <f>'Test-2'!$AA32</f>
        <v>0</v>
      </c>
      <c r="I22" s="150">
        <f>'Test-3'!$AA32</f>
        <v>0</v>
      </c>
      <c r="J22" s="151">
        <f t="shared" si="3"/>
        <v>0</v>
      </c>
      <c r="K22" s="152">
        <f t="shared" si="4"/>
        <v>0</v>
      </c>
      <c r="L22" s="153">
        <f t="shared" si="5"/>
        <v>0</v>
      </c>
      <c r="N22" s="140"/>
    </row>
    <row r="23" spans="1:14" ht="18" customHeight="1">
      <c r="A23" s="137"/>
      <c r="B23" s="138"/>
      <c r="C23" s="138"/>
      <c r="D23" s="148" t="s">
        <v>157</v>
      </c>
      <c r="E23" s="149"/>
      <c r="F23" s="141" t="s">
        <v>116</v>
      </c>
      <c r="G23" s="154" t="e">
        <f>'Test-1'!$AA31</f>
        <v>#DIV/0!</v>
      </c>
      <c r="H23" s="154" t="e">
        <f>'Test-2'!$AA31</f>
        <v>#DIV/0!</v>
      </c>
      <c r="I23" s="154" t="e">
        <f>'Test-3'!$AA31</f>
        <v>#DIV/0!</v>
      </c>
      <c r="J23" s="155" t="e">
        <f t="shared" si="3"/>
        <v>#DIV/0!</v>
      </c>
      <c r="K23" s="153" t="e">
        <f t="shared" si="4"/>
        <v>#DIV/0!</v>
      </c>
      <c r="L23" s="153" t="e">
        <f t="shared" si="5"/>
        <v>#DIV/0!</v>
      </c>
      <c r="N23" s="140"/>
    </row>
    <row r="24" spans="1:14" ht="18" customHeight="1">
      <c r="A24" s="137"/>
      <c r="B24" s="138"/>
      <c r="C24" s="138"/>
      <c r="D24" s="148" t="s">
        <v>166</v>
      </c>
      <c r="E24" s="149"/>
      <c r="F24" s="141" t="s">
        <v>167</v>
      </c>
      <c r="G24" s="150">
        <f>'Test-1'!$AA33</f>
        <v>0</v>
      </c>
      <c r="H24" s="150">
        <f>'Test-2'!$AA33</f>
        <v>0</v>
      </c>
      <c r="I24" s="150">
        <f>'Test-3'!$AA33</f>
        <v>0</v>
      </c>
      <c r="J24" s="151">
        <f t="shared" si="3"/>
        <v>0</v>
      </c>
      <c r="K24" s="152">
        <f t="shared" si="4"/>
        <v>0</v>
      </c>
      <c r="L24" s="153">
        <f t="shared" si="5"/>
        <v>0</v>
      </c>
      <c r="N24" s="140"/>
    </row>
    <row r="25" spans="1:14" ht="18" customHeight="1">
      <c r="A25" s="137"/>
      <c r="B25" s="138"/>
      <c r="C25" s="138"/>
      <c r="D25" s="148" t="s">
        <v>203</v>
      </c>
      <c r="E25" s="149"/>
      <c r="F25" s="167" t="s">
        <v>167</v>
      </c>
      <c r="G25" s="150">
        <f>'Test-1'!$AA34</f>
        <v>0</v>
      </c>
      <c r="H25" s="150">
        <f>'Test-2'!$AA34</f>
        <v>0</v>
      </c>
      <c r="I25" s="150">
        <f>'Test-3'!$AA34</f>
        <v>0</v>
      </c>
      <c r="J25" s="151">
        <f t="shared" si="3"/>
        <v>0</v>
      </c>
      <c r="K25" s="152">
        <f t="shared" si="4"/>
        <v>0</v>
      </c>
      <c r="L25" s="153">
        <f t="shared" si="5"/>
        <v>0</v>
      </c>
      <c r="N25" s="140"/>
    </row>
    <row r="26" spans="1:14" ht="18" customHeight="1">
      <c r="A26" s="137"/>
      <c r="B26" s="138"/>
      <c r="C26" s="138"/>
      <c r="D26" s="148" t="s">
        <v>204</v>
      </c>
      <c r="E26" s="149"/>
      <c r="F26" s="167" t="s">
        <v>180</v>
      </c>
      <c r="G26" s="150">
        <f>'Test-1'!$AA35</f>
        <v>0</v>
      </c>
      <c r="H26" s="150">
        <f>'Test-2'!$AA35</f>
        <v>0</v>
      </c>
      <c r="I26" s="150">
        <f>'Test-3'!$AA35</f>
        <v>0</v>
      </c>
      <c r="J26" s="151">
        <f>SUMIF(G26:I26,"&gt;0",G26:I26)/IF(G26=0,1,COUNTIF(G26:I26,"&gt;0"))</f>
        <v>0</v>
      </c>
      <c r="K26" s="152">
        <f>IF(PRODUCT(G26:I26)=0,0,STDEV(G26:I26))</f>
        <v>0</v>
      </c>
      <c r="L26" s="153">
        <f t="shared" si="5"/>
        <v>0</v>
      </c>
      <c r="N26" s="140"/>
    </row>
    <row r="27" spans="1:14" ht="18" customHeight="1">
      <c r="A27" s="137"/>
      <c r="B27" s="138"/>
      <c r="C27" s="138"/>
      <c r="D27" s="156" t="s">
        <v>171</v>
      </c>
      <c r="E27" s="157"/>
      <c r="F27" s="158" t="s">
        <v>172</v>
      </c>
      <c r="G27" s="159">
        <f>'Test-1'!$AA36</f>
        <v>0</v>
      </c>
      <c r="H27" s="159">
        <f>'Test-2'!$AA36</f>
        <v>0</v>
      </c>
      <c r="I27" s="159">
        <f>'Test-3'!$AA36</f>
        <v>0</v>
      </c>
      <c r="J27" s="160">
        <f t="shared" si="3"/>
        <v>0</v>
      </c>
      <c r="K27" s="161">
        <f t="shared" si="4"/>
        <v>0</v>
      </c>
      <c r="L27" s="162">
        <f t="shared" si="5"/>
        <v>0</v>
      </c>
      <c r="N27" s="140"/>
    </row>
    <row r="28" spans="1:14" ht="9" customHeight="1">
      <c r="A28" s="137"/>
      <c r="B28" s="138"/>
      <c r="C28" s="138"/>
      <c r="D28" s="138"/>
      <c r="E28" s="138"/>
      <c r="F28" s="141"/>
      <c r="J28" s="163"/>
      <c r="K28" s="129"/>
      <c r="L28" s="154"/>
      <c r="N28" s="140"/>
    </row>
    <row r="29" spans="1:14" ht="18" customHeight="1">
      <c r="A29" s="137"/>
      <c r="B29" s="138"/>
      <c r="C29" s="138"/>
      <c r="D29" s="142" t="s">
        <v>206</v>
      </c>
      <c r="E29" s="143"/>
      <c r="F29" s="144" t="s">
        <v>93</v>
      </c>
      <c r="G29" s="145" t="s">
        <v>196</v>
      </c>
      <c r="H29" s="145" t="s">
        <v>197</v>
      </c>
      <c r="I29" s="145" t="s">
        <v>198</v>
      </c>
      <c r="J29" s="164" t="s">
        <v>199</v>
      </c>
      <c r="K29" s="147" t="s">
        <v>200</v>
      </c>
      <c r="L29" s="165" t="s">
        <v>201</v>
      </c>
      <c r="N29" s="140"/>
    </row>
    <row r="30" spans="1:15" ht="18" customHeight="1">
      <c r="A30" s="137"/>
      <c r="B30" s="138"/>
      <c r="C30" s="138"/>
      <c r="D30" s="148" t="s">
        <v>161</v>
      </c>
      <c r="E30" s="149"/>
      <c r="F30" s="141" t="s">
        <v>162</v>
      </c>
      <c r="G30" s="150">
        <f>'Test-1'!$AP31</f>
        <v>0</v>
      </c>
      <c r="H30" s="150">
        <f>'Test-2'!$AP31</f>
        <v>0</v>
      </c>
      <c r="I30" s="150">
        <f>'Test-2'!$AP31</f>
        <v>0</v>
      </c>
      <c r="J30" s="151">
        <f aca="true" t="shared" si="6" ref="J30:J35">SUMIF(G30:I30,"&gt;0",G30:I30)/IF(G30=0,1,COUNTIF(G30:I30,"&gt;0"))</f>
        <v>0</v>
      </c>
      <c r="K30" s="152">
        <f aca="true" t="shared" si="7" ref="K30:K35">IF(PRODUCT(G30:I30)=0,0,STDEV(G30:I30))</f>
        <v>0</v>
      </c>
      <c r="L30" s="153">
        <f aca="true" t="shared" si="8" ref="L30:L35">IF(J30=0,0,K30/J30)</f>
        <v>0</v>
      </c>
      <c r="N30" s="140"/>
      <c r="O30" s="168"/>
    </row>
    <row r="31" spans="1:15" ht="18" customHeight="1">
      <c r="A31" s="137"/>
      <c r="B31" s="138"/>
      <c r="C31" s="138"/>
      <c r="D31" s="148" t="s">
        <v>157</v>
      </c>
      <c r="E31" s="149"/>
      <c r="F31" s="141" t="s">
        <v>116</v>
      </c>
      <c r="G31" s="154" t="e">
        <f>'Test-1'!$AP30</f>
        <v>#DIV/0!</v>
      </c>
      <c r="H31" s="154" t="e">
        <f>'Test-2'!$AP30</f>
        <v>#DIV/0!</v>
      </c>
      <c r="I31" s="154" t="e">
        <f>'Test-3'!$AP30</f>
        <v>#DIV/0!</v>
      </c>
      <c r="J31" s="155" t="e">
        <f t="shared" si="6"/>
        <v>#DIV/0!</v>
      </c>
      <c r="K31" s="153" t="e">
        <f t="shared" si="7"/>
        <v>#DIV/0!</v>
      </c>
      <c r="L31" s="153" t="e">
        <f t="shared" si="8"/>
        <v>#DIV/0!</v>
      </c>
      <c r="N31" s="140"/>
      <c r="O31" s="168"/>
    </row>
    <row r="32" spans="1:15" ht="18" customHeight="1">
      <c r="A32" s="137"/>
      <c r="B32" s="138"/>
      <c r="C32" s="138"/>
      <c r="D32" s="148" t="s">
        <v>166</v>
      </c>
      <c r="E32" s="149"/>
      <c r="F32" s="141" t="s">
        <v>167</v>
      </c>
      <c r="G32" s="150">
        <f>'Test-1'!$AP32</f>
        <v>0</v>
      </c>
      <c r="H32" s="150">
        <f>'Test-2'!$AP32</f>
        <v>0</v>
      </c>
      <c r="I32" s="150">
        <f>'Test-3'!$AP32</f>
        <v>0</v>
      </c>
      <c r="J32" s="151">
        <f t="shared" si="6"/>
        <v>0</v>
      </c>
      <c r="K32" s="152">
        <f t="shared" si="7"/>
        <v>0</v>
      </c>
      <c r="L32" s="153">
        <f t="shared" si="8"/>
        <v>0</v>
      </c>
      <c r="N32" s="140"/>
      <c r="O32" s="168"/>
    </row>
    <row r="33" spans="1:15" ht="18" customHeight="1">
      <c r="A33" s="137"/>
      <c r="B33" s="138"/>
      <c r="C33" s="138"/>
      <c r="D33" s="148" t="s">
        <v>204</v>
      </c>
      <c r="E33" s="149"/>
      <c r="F33" s="141" t="s">
        <v>180</v>
      </c>
      <c r="G33" s="150">
        <f>'Test-1'!$AP35</f>
        <v>0</v>
      </c>
      <c r="H33" s="150">
        <f>'Test-2'!$AP35</f>
        <v>0</v>
      </c>
      <c r="I33" s="150">
        <f>'Test-3'!$AP35</f>
        <v>0</v>
      </c>
      <c r="J33" s="151">
        <f t="shared" si="6"/>
        <v>0</v>
      </c>
      <c r="K33" s="152">
        <f t="shared" si="7"/>
        <v>0</v>
      </c>
      <c r="L33" s="153">
        <f t="shared" si="8"/>
        <v>0</v>
      </c>
      <c r="N33" s="140"/>
      <c r="O33" s="168"/>
    </row>
    <row r="34" spans="1:15" ht="18" customHeight="1">
      <c r="A34" s="137"/>
      <c r="B34" s="138"/>
      <c r="C34" s="138"/>
      <c r="D34" s="148" t="s">
        <v>171</v>
      </c>
      <c r="E34" s="149"/>
      <c r="F34" s="141" t="s">
        <v>172</v>
      </c>
      <c r="G34" s="150">
        <f>'Test-1'!$AP33</f>
        <v>0</v>
      </c>
      <c r="H34" s="150">
        <f>'Test-2'!$AP33</f>
        <v>0</v>
      </c>
      <c r="I34" s="150">
        <f>'Test-3'!$AP33</f>
        <v>0</v>
      </c>
      <c r="J34" s="169">
        <f t="shared" si="6"/>
        <v>0</v>
      </c>
      <c r="K34" s="152">
        <f t="shared" si="7"/>
        <v>0</v>
      </c>
      <c r="L34" s="153">
        <f t="shared" si="8"/>
        <v>0</v>
      </c>
      <c r="N34" s="140"/>
      <c r="O34" s="168"/>
    </row>
    <row r="35" spans="1:15" ht="18" customHeight="1">
      <c r="A35" s="137"/>
      <c r="B35" s="138"/>
      <c r="C35" s="138"/>
      <c r="D35" s="156" t="s">
        <v>177</v>
      </c>
      <c r="E35" s="157"/>
      <c r="F35" s="158" t="s">
        <v>95</v>
      </c>
      <c r="G35" s="170">
        <f>'Test-1'!$AP34</f>
        <v>0</v>
      </c>
      <c r="H35" s="170">
        <f>'Test-2'!$AP34</f>
        <v>0</v>
      </c>
      <c r="I35" s="170">
        <f>'Test-3'!$AP34</f>
        <v>0</v>
      </c>
      <c r="J35" s="171">
        <f t="shared" si="6"/>
        <v>0</v>
      </c>
      <c r="K35" s="161">
        <f t="shared" si="7"/>
        <v>0</v>
      </c>
      <c r="L35" s="162">
        <f t="shared" si="8"/>
        <v>0</v>
      </c>
      <c r="N35" s="140"/>
      <c r="O35" s="168"/>
    </row>
    <row r="36" spans="1:15" ht="18" customHeight="1">
      <c r="A36" s="137"/>
      <c r="B36" s="138"/>
      <c r="C36" s="138"/>
      <c r="D36" s="149"/>
      <c r="E36" s="149"/>
      <c r="F36" s="141"/>
      <c r="G36" s="172"/>
      <c r="H36" s="172"/>
      <c r="I36" s="172"/>
      <c r="J36" s="173"/>
      <c r="K36" s="174"/>
      <c r="L36" s="154"/>
      <c r="N36" s="140"/>
      <c r="O36" s="168"/>
    </row>
    <row r="37" spans="1:15" ht="18" customHeight="1">
      <c r="A37" s="137"/>
      <c r="B37" s="138"/>
      <c r="C37" s="138"/>
      <c r="D37" s="175" t="s">
        <v>207</v>
      </c>
      <c r="E37" s="149"/>
      <c r="F37" s="141"/>
      <c r="G37" s="172"/>
      <c r="H37" s="172"/>
      <c r="I37" s="172"/>
      <c r="J37" s="173"/>
      <c r="K37" s="174"/>
      <c r="L37" s="154"/>
      <c r="N37" s="140"/>
      <c r="O37" s="168"/>
    </row>
    <row r="38" spans="1:15" ht="18" customHeight="1" thickTop="1">
      <c r="A38" s="137"/>
      <c r="B38" s="138"/>
      <c r="C38" s="138"/>
      <c r="D38" s="176" t="s">
        <v>208</v>
      </c>
      <c r="E38" s="177"/>
      <c r="F38" s="178" t="s">
        <v>23</v>
      </c>
      <c r="G38" s="179">
        <f>'Test-1'!$AP36</f>
        <v>0</v>
      </c>
      <c r="H38" s="179">
        <f>'Test-2'!$AP36</f>
        <v>0</v>
      </c>
      <c r="I38" s="179">
        <f>'Test-3'!$AP36</f>
        <v>0</v>
      </c>
      <c r="J38" s="180">
        <f>SUMIF(G38:I38,"&gt;0",G38:I38)/IF(G38=0,1,COUNTIF(G38:I38,"&gt;0"))</f>
        <v>0</v>
      </c>
      <c r="K38" s="181">
        <f>IF(PRODUCT(G38:I38)=0,0,STDEV(G38:I38))</f>
        <v>0</v>
      </c>
      <c r="L38" s="182">
        <f>IF(J38=0,0,K38/J38)</f>
        <v>0</v>
      </c>
      <c r="N38" s="140"/>
      <c r="O38" s="168"/>
    </row>
    <row r="39" spans="1:15" ht="18" customHeight="1">
      <c r="A39" s="137"/>
      <c r="B39" s="138"/>
      <c r="C39" s="138"/>
      <c r="D39" s="363" t="s">
        <v>209</v>
      </c>
      <c r="E39" s="149"/>
      <c r="F39" s="209" t="s">
        <v>190</v>
      </c>
      <c r="G39" s="150">
        <f>'Test-1'!$AP37</f>
        <v>0</v>
      </c>
      <c r="H39" s="150">
        <f>'Test-2'!$AP37</f>
        <v>0</v>
      </c>
      <c r="I39" s="150">
        <f>'Test-3'!$AP37</f>
        <v>0</v>
      </c>
      <c r="J39" s="364">
        <f>SUMIF(G39:I39,"&gt;0",G39:I39)/IF(G39=0,1,COUNTIF(G39:I39,"&gt;0"))</f>
        <v>0</v>
      </c>
      <c r="K39" s="365">
        <f>IF(PRODUCT(G39:I39)=0,0,STDEV(G39:I39))</f>
        <v>0</v>
      </c>
      <c r="L39" s="366">
        <f>IF(J39=0,0,K39/J39)</f>
        <v>0</v>
      </c>
      <c r="N39" s="140"/>
      <c r="O39" s="168"/>
    </row>
    <row r="40" spans="1:15" ht="18" customHeight="1">
      <c r="A40" s="137"/>
      <c r="B40" s="138"/>
      <c r="C40" s="138"/>
      <c r="D40" s="367" t="s">
        <v>836</v>
      </c>
      <c r="E40" s="149"/>
      <c r="F40" s="209" t="s">
        <v>23</v>
      </c>
      <c r="G40" s="150">
        <f>'Test-1'!W56</f>
        <v>0</v>
      </c>
      <c r="H40" s="150">
        <f>'Test-2'!W56</f>
        <v>0</v>
      </c>
      <c r="I40" s="150">
        <f>'Test-3'!W56</f>
        <v>0</v>
      </c>
      <c r="J40" s="364">
        <f>SUMIF(G40:I40,"&gt;0",G40:I40)/IF(G40=0,1,COUNTIF(G40:I40,"&gt;0"))</f>
        <v>0</v>
      </c>
      <c r="K40" s="365">
        <f>IF(PRODUCT(G40:I40)=0,0,STDEV(G40:I40))</f>
        <v>0</v>
      </c>
      <c r="L40" s="366">
        <f>IF(J40=0,0,K40/J40)</f>
        <v>0</v>
      </c>
      <c r="N40" s="140"/>
      <c r="O40" s="168"/>
    </row>
    <row r="41" spans="1:15" ht="18" customHeight="1" thickBot="1">
      <c r="A41" s="137"/>
      <c r="B41" s="138"/>
      <c r="C41" s="138"/>
      <c r="D41" s="368" t="s">
        <v>837</v>
      </c>
      <c r="E41" s="183"/>
      <c r="F41" s="369" t="s">
        <v>23</v>
      </c>
      <c r="G41" s="185">
        <f>'Test-1'!W57</f>
        <v>0</v>
      </c>
      <c r="H41" s="185">
        <f>'Test-2'!W57</f>
        <v>0</v>
      </c>
      <c r="I41" s="185">
        <f>'Test-3'!W57</f>
        <v>0</v>
      </c>
      <c r="J41" s="186">
        <f>SUMIF(G41:I41,"&gt;0",G41:I41)/IF(G41=0,1,COUNTIF(G41:I41,"&gt;0"))</f>
        <v>0</v>
      </c>
      <c r="K41" s="187">
        <f>IF(PRODUCT(G41:I41)=0,0,STDEV(G41:I41))</f>
        <v>0</v>
      </c>
      <c r="L41" s="188">
        <f>IF(J41=0,0,K41/J41)</f>
        <v>0</v>
      </c>
      <c r="N41" s="140"/>
      <c r="O41" s="168"/>
    </row>
    <row r="42" spans="1:15" ht="18" customHeight="1">
      <c r="A42" s="137"/>
      <c r="B42" s="138"/>
      <c r="C42" s="138"/>
      <c r="D42" s="149"/>
      <c r="E42" s="149"/>
      <c r="F42" s="141"/>
      <c r="G42" s="172"/>
      <c r="H42" s="172"/>
      <c r="I42" s="172"/>
      <c r="J42" s="189"/>
      <c r="K42" s="190"/>
      <c r="L42" s="138"/>
      <c r="N42" s="140"/>
      <c r="O42" s="168"/>
    </row>
    <row r="43" spans="1:15" ht="18" customHeight="1">
      <c r="A43" s="137"/>
      <c r="B43" s="138"/>
      <c r="C43" s="138"/>
      <c r="D43" s="149"/>
      <c r="E43" s="149"/>
      <c r="F43" s="141"/>
      <c r="G43" s="172"/>
      <c r="H43" s="172"/>
      <c r="I43" s="172"/>
      <c r="J43" s="189"/>
      <c r="K43" s="190"/>
      <c r="L43" s="138"/>
      <c r="N43" s="140"/>
      <c r="O43" s="168"/>
    </row>
    <row r="44" spans="1:14" ht="6" customHeight="1">
      <c r="A44" s="137"/>
      <c r="B44" s="138"/>
      <c r="C44" s="138"/>
      <c r="D44" s="149"/>
      <c r="E44" s="149"/>
      <c r="F44" s="141"/>
      <c r="L44" s="138"/>
      <c r="N44" s="140"/>
    </row>
    <row r="45" spans="1:14" ht="4.5" customHeight="1">
      <c r="A45" s="191"/>
      <c r="B45" s="192"/>
      <c r="C45" s="192"/>
      <c r="D45" s="184"/>
      <c r="E45" s="184"/>
      <c r="F45" s="184"/>
      <c r="G45" s="193"/>
      <c r="H45" s="193"/>
      <c r="I45" s="193"/>
      <c r="J45" s="194"/>
      <c r="K45" s="194"/>
      <c r="L45" s="195"/>
      <c r="M45" s="195"/>
      <c r="N45" s="196"/>
    </row>
  </sheetData>
  <sheetProtection/>
  <mergeCells count="6">
    <mergeCell ref="F7:L7"/>
    <mergeCell ref="G1:H1"/>
    <mergeCell ref="F3:L3"/>
    <mergeCell ref="F4:L4"/>
    <mergeCell ref="F5:L5"/>
    <mergeCell ref="F6:L6"/>
  </mergeCells>
  <printOptions/>
  <pageMargins left="0.7479166666666667" right="0.7479166666666667" top="0.75" bottom="0.75" header="0.5118055555555555" footer="0.5"/>
  <pageSetup horizontalDpi="300" verticalDpi="300" orientation="portrait" scale="71" r:id="rId3"/>
  <headerFooter alignWithMargins="0">
    <oddFooter>&amp;L&amp;F&amp;C&amp;A&amp;RPage &amp;P</oddFooter>
  </headerFooter>
  <legacyDrawing r:id="rId2"/>
</worksheet>
</file>

<file path=xl/worksheets/sheet7.xml><?xml version="1.0" encoding="utf-8"?>
<worksheet xmlns="http://schemas.openxmlformats.org/spreadsheetml/2006/main" xmlns:r="http://schemas.openxmlformats.org/officeDocument/2006/relationships">
  <sheetPr codeName="Sheet5"/>
  <dimension ref="A1:U33"/>
  <sheetViews>
    <sheetView showGridLines="0" showZeros="0" view="pageBreakPreview" zoomScale="80" zoomScaleSheetLayoutView="80" zoomScalePageLayoutView="0" workbookViewId="0" topLeftCell="A1">
      <selection activeCell="R10" sqref="R10"/>
    </sheetView>
  </sheetViews>
  <sheetFormatPr defaultColWidth="9.140625" defaultRowHeight="12.75"/>
  <cols>
    <col min="1" max="1" width="2.140625" style="0" customWidth="1"/>
    <col min="2" max="2" width="1.7109375" style="0" customWidth="1"/>
    <col min="3" max="3" width="8.28125" style="0" customWidth="1"/>
    <col min="4" max="4" width="8.00390625" style="0" customWidth="1"/>
    <col min="5" max="6" width="8.7109375" style="0" customWidth="1"/>
    <col min="7" max="9" width="1.7109375" style="0" customWidth="1"/>
    <col min="10" max="10" width="8.28125" style="0" customWidth="1"/>
    <col min="11" max="13" width="8.7109375" style="0" customWidth="1"/>
    <col min="14" max="14" width="1.7109375" style="0" customWidth="1"/>
    <col min="15" max="15" width="3.28125" style="0" customWidth="1"/>
    <col min="16" max="16" width="8.28125" style="0" customWidth="1"/>
    <col min="17" max="19" width="8.7109375" style="0" customWidth="1"/>
    <col min="20" max="20" width="1.7109375" style="0" customWidth="1"/>
    <col min="21" max="22" width="2.57421875" style="0" customWidth="1"/>
  </cols>
  <sheetData>
    <row r="1" spans="1:21" ht="6" customHeight="1" thickTop="1">
      <c r="A1" s="197"/>
      <c r="B1" s="197"/>
      <c r="C1" s="197"/>
      <c r="D1" s="197"/>
      <c r="E1" s="197"/>
      <c r="F1" s="197"/>
      <c r="G1" s="197"/>
      <c r="H1" s="197"/>
      <c r="I1" s="197"/>
      <c r="J1" s="197"/>
      <c r="K1" s="197"/>
      <c r="L1" s="197"/>
      <c r="M1" s="197"/>
      <c r="N1" s="197"/>
      <c r="O1" s="197"/>
      <c r="P1" s="197"/>
      <c r="Q1" s="197"/>
      <c r="R1" s="197"/>
      <c r="S1" s="197"/>
      <c r="T1" s="197"/>
      <c r="U1" s="198"/>
    </row>
    <row r="2" spans="1:21" ht="57" customHeight="1">
      <c r="A2" s="199"/>
      <c r="B2" s="437" t="s">
        <v>762</v>
      </c>
      <c r="C2" s="437"/>
      <c r="D2" s="437"/>
      <c r="E2" s="437"/>
      <c r="F2" s="437"/>
      <c r="G2" s="437"/>
      <c r="H2" s="437"/>
      <c r="I2" s="437"/>
      <c r="J2" s="437"/>
      <c r="K2" s="437"/>
      <c r="L2" s="437"/>
      <c r="M2" s="437"/>
      <c r="N2" s="437"/>
      <c r="O2" s="437"/>
      <c r="P2" s="437"/>
      <c r="Q2" s="437"/>
      <c r="R2" s="437"/>
      <c r="S2" s="437"/>
      <c r="T2" s="437"/>
      <c r="U2" s="201"/>
    </row>
    <row r="3" spans="1:21" ht="26.25" customHeight="1">
      <c r="A3" s="199"/>
      <c r="B3" s="437" t="s">
        <v>784</v>
      </c>
      <c r="C3" s="437"/>
      <c r="D3" s="437"/>
      <c r="E3" s="437"/>
      <c r="F3" s="437"/>
      <c r="G3" s="437"/>
      <c r="H3" s="437"/>
      <c r="I3" s="437"/>
      <c r="J3" s="437"/>
      <c r="K3" s="437"/>
      <c r="L3" s="437"/>
      <c r="M3" s="437"/>
      <c r="N3" s="437"/>
      <c r="O3" s="437"/>
      <c r="P3" s="437"/>
      <c r="Q3" s="437"/>
      <c r="R3" s="437"/>
      <c r="S3" s="437"/>
      <c r="T3" s="437"/>
      <c r="U3" s="201"/>
    </row>
    <row r="4" spans="1:21" ht="6" customHeight="1">
      <c r="A4" s="199"/>
      <c r="B4" s="71"/>
      <c r="C4" s="200"/>
      <c r="D4" s="200"/>
      <c r="E4" s="200"/>
      <c r="F4" s="200"/>
      <c r="G4" s="200"/>
      <c r="H4" s="200"/>
      <c r="I4" s="71"/>
      <c r="J4" s="200"/>
      <c r="K4" s="200"/>
      <c r="L4" s="200"/>
      <c r="M4" s="200"/>
      <c r="N4" s="200"/>
      <c r="O4" s="71"/>
      <c r="P4" s="200"/>
      <c r="Q4" s="200"/>
      <c r="R4" s="200"/>
      <c r="S4" s="200"/>
      <c r="T4" s="200"/>
      <c r="U4" s="202"/>
    </row>
    <row r="5" spans="1:21" ht="6" customHeight="1">
      <c r="A5" s="199"/>
      <c r="B5" s="203"/>
      <c r="C5" s="204"/>
      <c r="D5" s="204"/>
      <c r="E5" s="204"/>
      <c r="F5" s="204"/>
      <c r="G5" s="205"/>
      <c r="H5" s="71"/>
      <c r="I5" s="203"/>
      <c r="J5" s="204"/>
      <c r="K5" s="204"/>
      <c r="L5" s="204"/>
      <c r="M5" s="204"/>
      <c r="N5" s="205"/>
      <c r="U5" s="206"/>
    </row>
    <row r="6" spans="1:21" ht="12.75">
      <c r="A6" s="199"/>
      <c r="B6" s="207"/>
      <c r="C6" s="208" t="s">
        <v>210</v>
      </c>
      <c r="D6" s="438" t="s">
        <v>211</v>
      </c>
      <c r="E6" s="438"/>
      <c r="F6" s="438"/>
      <c r="G6" s="70"/>
      <c r="H6" s="71"/>
      <c r="I6" s="207"/>
      <c r="J6" s="208" t="s">
        <v>212</v>
      </c>
      <c r="K6" s="438" t="s">
        <v>211</v>
      </c>
      <c r="L6" s="438"/>
      <c r="M6" s="438"/>
      <c r="N6" s="70"/>
      <c r="P6" t="s">
        <v>768</v>
      </c>
      <c r="U6" s="206"/>
    </row>
    <row r="7" spans="1:21" ht="12.75">
      <c r="A7" s="199"/>
      <c r="B7" s="207"/>
      <c r="C7" s="208"/>
      <c r="D7" s="438" t="s">
        <v>213</v>
      </c>
      <c r="E7" s="438"/>
      <c r="F7" s="438"/>
      <c r="G7" s="70"/>
      <c r="H7" s="71"/>
      <c r="I7" s="207"/>
      <c r="J7" s="208"/>
      <c r="K7" s="438" t="s">
        <v>213</v>
      </c>
      <c r="L7" s="438"/>
      <c r="M7" s="438"/>
      <c r="N7" s="70"/>
      <c r="P7" s="440"/>
      <c r="Q7" s="440"/>
      <c r="R7" s="440"/>
      <c r="S7" s="440"/>
      <c r="U7" s="206"/>
    </row>
    <row r="8" spans="1:21" ht="15" customHeight="1">
      <c r="A8" s="199"/>
      <c r="B8" s="207"/>
      <c r="C8" s="71"/>
      <c r="D8" s="209">
        <v>1</v>
      </c>
      <c r="E8" s="209">
        <v>2</v>
      </c>
      <c r="F8" s="209">
        <v>3</v>
      </c>
      <c r="G8" s="70"/>
      <c r="H8" s="71"/>
      <c r="I8" s="207"/>
      <c r="J8" s="71"/>
      <c r="K8" s="209">
        <v>1</v>
      </c>
      <c r="L8" s="209">
        <v>2</v>
      </c>
      <c r="M8" s="209">
        <v>3</v>
      </c>
      <c r="N8" s="70"/>
      <c r="U8" s="206"/>
    </row>
    <row r="9" spans="1:21" ht="20.25" customHeight="1">
      <c r="A9" s="199"/>
      <c r="B9" s="207"/>
      <c r="C9" s="71" t="s">
        <v>214</v>
      </c>
      <c r="D9" s="210"/>
      <c r="E9" s="210"/>
      <c r="F9" s="211"/>
      <c r="G9" s="70"/>
      <c r="H9" s="71"/>
      <c r="I9" s="207"/>
      <c r="J9" s="71" t="s">
        <v>214</v>
      </c>
      <c r="K9" s="210"/>
      <c r="L9" s="210"/>
      <c r="M9" s="211"/>
      <c r="N9" s="70"/>
      <c r="U9" s="206"/>
    </row>
    <row r="10" spans="1:21" ht="20.25" customHeight="1">
      <c r="A10" s="199"/>
      <c r="B10" s="207"/>
      <c r="C10" s="71" t="s">
        <v>215</v>
      </c>
      <c r="D10" s="212"/>
      <c r="E10" s="212"/>
      <c r="F10" s="213"/>
      <c r="G10" s="70"/>
      <c r="H10" s="71"/>
      <c r="I10" s="207"/>
      <c r="J10" s="71" t="s">
        <v>215</v>
      </c>
      <c r="K10" s="212"/>
      <c r="L10" s="212"/>
      <c r="M10" s="213"/>
      <c r="N10" s="70"/>
      <c r="U10" s="206"/>
    </row>
    <row r="11" spans="1:21" ht="20.25" customHeight="1">
      <c r="A11" s="199"/>
      <c r="B11" s="207"/>
      <c r="C11" s="71" t="s">
        <v>216</v>
      </c>
      <c r="D11" s="212"/>
      <c r="E11" s="212"/>
      <c r="F11" s="213"/>
      <c r="G11" s="70"/>
      <c r="H11" s="71"/>
      <c r="I11" s="207"/>
      <c r="J11" s="71" t="s">
        <v>216</v>
      </c>
      <c r="K11" s="212"/>
      <c r="L11" s="212"/>
      <c r="M11" s="213"/>
      <c r="N11" s="70"/>
      <c r="U11" s="206"/>
    </row>
    <row r="12" spans="1:21" ht="6" customHeight="1">
      <c r="A12" s="199"/>
      <c r="B12" s="207"/>
      <c r="C12" s="71"/>
      <c r="D12" s="71"/>
      <c r="E12" s="71"/>
      <c r="F12" s="71"/>
      <c r="G12" s="70"/>
      <c r="H12" s="71"/>
      <c r="I12" s="207"/>
      <c r="J12" s="71"/>
      <c r="K12" s="71"/>
      <c r="L12" s="71"/>
      <c r="M12" s="71"/>
      <c r="N12" s="70"/>
      <c r="U12" s="206"/>
    </row>
    <row r="13" spans="1:21" ht="18" customHeight="1">
      <c r="A13" s="199"/>
      <c r="B13" s="207"/>
      <c r="C13" s="71" t="s">
        <v>217</v>
      </c>
      <c r="D13" s="71"/>
      <c r="E13" s="71"/>
      <c r="F13" s="71"/>
      <c r="G13" s="70"/>
      <c r="H13" s="71"/>
      <c r="I13" s="207"/>
      <c r="J13" s="71" t="s">
        <v>217</v>
      </c>
      <c r="K13" s="71"/>
      <c r="L13" s="71"/>
      <c r="M13" s="71"/>
      <c r="N13" s="70"/>
      <c r="U13" s="206"/>
    </row>
    <row r="14" spans="1:21" ht="18" customHeight="1">
      <c r="A14" s="199"/>
      <c r="B14" s="207"/>
      <c r="C14" s="214" t="s">
        <v>218</v>
      </c>
      <c r="D14" s="305">
        <f>IF(D9=0,0,AVERAGE(D9:F11))</f>
        <v>0</v>
      </c>
      <c r="E14" s="215" t="s">
        <v>219</v>
      </c>
      <c r="F14" s="305">
        <f>IF(D14=0,0,D14/(1+D14))</f>
        <v>0</v>
      </c>
      <c r="G14" s="70"/>
      <c r="H14" s="71"/>
      <c r="I14" s="207"/>
      <c r="J14" s="214" t="s">
        <v>218</v>
      </c>
      <c r="K14" s="305">
        <f>IF(K9=0,0,AVERAGE(K9:M11))</f>
        <v>0</v>
      </c>
      <c r="L14" s="215" t="s">
        <v>219</v>
      </c>
      <c r="M14" s="305">
        <f>IF(K14=0,0,K14/(1+K14))</f>
        <v>0</v>
      </c>
      <c r="N14" s="70"/>
      <c r="U14" s="206"/>
    </row>
    <row r="15" spans="1:21" ht="6.75" customHeight="1">
      <c r="A15" s="199"/>
      <c r="B15" s="216"/>
      <c r="C15" s="217"/>
      <c r="D15" s="217"/>
      <c r="E15" s="217"/>
      <c r="F15" s="218"/>
      <c r="G15" s="219"/>
      <c r="H15" s="71"/>
      <c r="I15" s="216"/>
      <c r="J15" s="217"/>
      <c r="K15" s="217"/>
      <c r="L15" s="217"/>
      <c r="M15" s="218"/>
      <c r="N15" s="219"/>
      <c r="U15" s="206"/>
    </row>
    <row r="16" spans="1:21" ht="6.75" customHeight="1">
      <c r="A16" s="199"/>
      <c r="B16" s="71"/>
      <c r="C16" s="71"/>
      <c r="D16" s="71"/>
      <c r="E16" s="71"/>
      <c r="F16" s="220"/>
      <c r="G16" s="71"/>
      <c r="H16" s="71"/>
      <c r="O16" s="71"/>
      <c r="P16" s="71"/>
      <c r="Q16" s="71"/>
      <c r="R16" s="71"/>
      <c r="S16" s="220"/>
      <c r="T16" s="71"/>
      <c r="U16" s="206"/>
    </row>
    <row r="17" spans="1:21" ht="6" customHeight="1">
      <c r="A17" s="199"/>
      <c r="B17" s="71"/>
      <c r="C17" s="71"/>
      <c r="D17" s="71"/>
      <c r="E17" s="71"/>
      <c r="F17" s="220"/>
      <c r="G17" s="71"/>
      <c r="H17" s="71"/>
      <c r="I17" s="71"/>
      <c r="J17" s="71"/>
      <c r="K17" s="71"/>
      <c r="L17" s="71"/>
      <c r="M17" s="71"/>
      <c r="N17" s="71"/>
      <c r="O17" s="71"/>
      <c r="P17" s="71"/>
      <c r="Q17" s="71"/>
      <c r="R17" s="71"/>
      <c r="S17" s="71"/>
      <c r="T17" s="71"/>
      <c r="U17" s="206"/>
    </row>
    <row r="18" spans="1:21" ht="6" customHeight="1">
      <c r="A18" s="199"/>
      <c r="B18" s="203"/>
      <c r="C18" s="204"/>
      <c r="D18" s="204"/>
      <c r="E18" s="204"/>
      <c r="F18" s="204"/>
      <c r="G18" s="205"/>
      <c r="H18" s="71"/>
      <c r="U18" s="206"/>
    </row>
    <row r="19" spans="1:21" ht="12.75">
      <c r="A19" s="199"/>
      <c r="B19" s="207"/>
      <c r="C19" s="208" t="s">
        <v>220</v>
      </c>
      <c r="D19" s="438" t="s">
        <v>211</v>
      </c>
      <c r="E19" s="438"/>
      <c r="F19" s="438"/>
      <c r="G19" s="70"/>
      <c r="H19" s="71"/>
      <c r="U19" s="206"/>
    </row>
    <row r="20" spans="1:21" ht="12.75">
      <c r="A20" s="199"/>
      <c r="B20" s="207"/>
      <c r="C20" s="208"/>
      <c r="D20" s="438" t="s">
        <v>213</v>
      </c>
      <c r="E20" s="438"/>
      <c r="F20" s="438"/>
      <c r="G20" s="70"/>
      <c r="H20" s="71"/>
      <c r="U20" s="206"/>
    </row>
    <row r="21" spans="1:21" ht="15" customHeight="1">
      <c r="A21" s="199"/>
      <c r="B21" s="207"/>
      <c r="C21" s="71"/>
      <c r="D21" s="209">
        <v>1</v>
      </c>
      <c r="E21" s="209">
        <v>2</v>
      </c>
      <c r="F21" s="209">
        <v>3</v>
      </c>
      <c r="G21" s="70"/>
      <c r="H21" s="71"/>
      <c r="U21" s="206"/>
    </row>
    <row r="22" spans="1:21" ht="20.25" customHeight="1">
      <c r="A22" s="199"/>
      <c r="B22" s="207"/>
      <c r="C22" s="71" t="s">
        <v>214</v>
      </c>
      <c r="D22" s="210"/>
      <c r="E22" s="210"/>
      <c r="F22" s="211"/>
      <c r="G22" s="70"/>
      <c r="H22" s="71"/>
      <c r="U22" s="206"/>
    </row>
    <row r="23" spans="1:21" ht="20.25" customHeight="1">
      <c r="A23" s="199"/>
      <c r="B23" s="207"/>
      <c r="C23" s="71" t="s">
        <v>215</v>
      </c>
      <c r="D23" s="212"/>
      <c r="E23" s="212"/>
      <c r="F23" s="213"/>
      <c r="G23" s="70"/>
      <c r="H23" s="71"/>
      <c r="U23" s="206"/>
    </row>
    <row r="24" spans="1:21" ht="20.25" customHeight="1">
      <c r="A24" s="199"/>
      <c r="B24" s="207"/>
      <c r="C24" s="71" t="s">
        <v>216</v>
      </c>
      <c r="D24" s="212"/>
      <c r="E24" s="212"/>
      <c r="F24" s="213"/>
      <c r="G24" s="70"/>
      <c r="H24" s="71"/>
      <c r="U24" s="206"/>
    </row>
    <row r="25" spans="1:21" ht="6" customHeight="1">
      <c r="A25" s="199"/>
      <c r="B25" s="207"/>
      <c r="C25" s="71"/>
      <c r="D25" s="71"/>
      <c r="E25" s="71"/>
      <c r="F25" s="71"/>
      <c r="G25" s="70"/>
      <c r="H25" s="71"/>
      <c r="U25" s="206"/>
    </row>
    <row r="26" spans="1:21" ht="18" customHeight="1">
      <c r="A26" s="199"/>
      <c r="B26" s="207"/>
      <c r="C26" s="71" t="s">
        <v>217</v>
      </c>
      <c r="D26" s="71"/>
      <c r="E26" s="71"/>
      <c r="F26" s="71"/>
      <c r="G26" s="70"/>
      <c r="H26" s="71"/>
      <c r="U26" s="206"/>
    </row>
    <row r="27" spans="1:21" ht="18" customHeight="1">
      <c r="A27" s="199"/>
      <c r="B27" s="207"/>
      <c r="C27" s="214" t="s">
        <v>218</v>
      </c>
      <c r="D27" s="305">
        <f>IF(D22=0,0,AVERAGE(D22:F24))</f>
        <v>0</v>
      </c>
      <c r="E27" s="215" t="s">
        <v>219</v>
      </c>
      <c r="F27" s="305">
        <f>IF(D27=0,0,D27/(1+D27))</f>
        <v>0</v>
      </c>
      <c r="G27" s="70"/>
      <c r="H27" s="71"/>
      <c r="U27" s="206"/>
    </row>
    <row r="28" spans="1:21" ht="6.75" customHeight="1">
      <c r="A28" s="199"/>
      <c r="B28" s="216"/>
      <c r="C28" s="217"/>
      <c r="D28" s="217"/>
      <c r="E28" s="217"/>
      <c r="F28" s="218"/>
      <c r="G28" s="219"/>
      <c r="H28" s="71"/>
      <c r="U28" s="206"/>
    </row>
    <row r="29" spans="1:21" ht="6" customHeight="1">
      <c r="A29" s="199"/>
      <c r="B29" s="71"/>
      <c r="C29" s="71"/>
      <c r="D29" s="71"/>
      <c r="E29" s="71"/>
      <c r="F29" s="71"/>
      <c r="G29" s="71"/>
      <c r="H29" s="71"/>
      <c r="I29" s="71"/>
      <c r="J29" s="71"/>
      <c r="K29" s="71"/>
      <c r="L29" s="71"/>
      <c r="M29" s="71"/>
      <c r="N29" s="71"/>
      <c r="O29" s="71"/>
      <c r="P29" s="71"/>
      <c r="Q29" s="71"/>
      <c r="R29" s="71"/>
      <c r="S29" s="71"/>
      <c r="T29" s="71"/>
      <c r="U29" s="206"/>
    </row>
    <row r="30" spans="1:21" ht="6" customHeight="1">
      <c r="A30" s="199"/>
      <c r="B30" s="71"/>
      <c r="C30" s="71"/>
      <c r="D30" s="71"/>
      <c r="E30" s="71"/>
      <c r="F30" s="71"/>
      <c r="G30" s="71"/>
      <c r="H30" s="71"/>
      <c r="I30" s="71"/>
      <c r="J30" s="71"/>
      <c r="K30" s="71"/>
      <c r="L30" s="71"/>
      <c r="M30" s="71"/>
      <c r="N30" s="71"/>
      <c r="O30" s="71"/>
      <c r="P30" s="71"/>
      <c r="Q30" s="71"/>
      <c r="R30" s="71"/>
      <c r="S30" s="71"/>
      <c r="T30" s="71"/>
      <c r="U30" s="206"/>
    </row>
    <row r="31" spans="1:21" ht="15" customHeight="1">
      <c r="A31" s="199"/>
      <c r="B31" s="71"/>
      <c r="C31" s="71"/>
      <c r="D31" s="71"/>
      <c r="E31" s="71"/>
      <c r="F31" s="71"/>
      <c r="G31" s="71"/>
      <c r="H31" s="71"/>
      <c r="I31" s="71"/>
      <c r="J31" s="71"/>
      <c r="K31" s="71"/>
      <c r="L31" s="71"/>
      <c r="M31" s="71"/>
      <c r="N31" s="71"/>
      <c r="O31" s="71"/>
      <c r="P31" s="71"/>
      <c r="Q31" s="71"/>
      <c r="R31" s="71"/>
      <c r="S31" s="71"/>
      <c r="T31" s="71"/>
      <c r="U31" s="206"/>
    </row>
    <row r="32" spans="1:21" ht="6" customHeight="1">
      <c r="A32" s="199"/>
      <c r="B32" s="71"/>
      <c r="C32" s="71"/>
      <c r="D32" s="71"/>
      <c r="E32" s="71"/>
      <c r="F32" s="71"/>
      <c r="G32" s="71"/>
      <c r="H32" s="71"/>
      <c r="I32" s="71"/>
      <c r="J32" s="71"/>
      <c r="K32" s="71"/>
      <c r="L32" s="71"/>
      <c r="M32" s="71"/>
      <c r="N32" s="71"/>
      <c r="O32" s="71"/>
      <c r="P32" s="71"/>
      <c r="Q32" s="71"/>
      <c r="R32" s="71"/>
      <c r="S32" s="71"/>
      <c r="T32" s="71"/>
      <c r="U32" s="206"/>
    </row>
    <row r="33" spans="1:21" ht="12.75" customHeight="1" thickBot="1">
      <c r="A33" s="221"/>
      <c r="B33" s="439" t="s">
        <v>221</v>
      </c>
      <c r="C33" s="439"/>
      <c r="D33" s="439"/>
      <c r="E33" s="439"/>
      <c r="F33" s="439"/>
      <c r="G33" s="439"/>
      <c r="H33" s="439"/>
      <c r="I33" s="439"/>
      <c r="J33" s="439"/>
      <c r="K33" s="439"/>
      <c r="L33" s="439"/>
      <c r="M33" s="439"/>
      <c r="N33" s="439"/>
      <c r="O33" s="439"/>
      <c r="P33" s="439"/>
      <c r="Q33" s="439"/>
      <c r="R33" s="439"/>
      <c r="S33" s="439"/>
      <c r="T33" s="439"/>
      <c r="U33" s="439"/>
    </row>
    <row r="34" ht="18" customHeight="1" thickTop="1"/>
    <row r="35" ht="6.75" customHeight="1"/>
    <row r="36" ht="6.75" customHeight="1"/>
    <row r="37" ht="6" customHeight="1"/>
    <row r="39" ht="15" customHeight="1"/>
    <row r="40" ht="20.25" customHeight="1"/>
    <row r="41" ht="20.25" customHeight="1"/>
    <row r="42" ht="20.25" customHeight="1"/>
    <row r="43" ht="6" customHeight="1"/>
    <row r="44" ht="12.75" customHeight="1"/>
    <row r="45" ht="18" customHeight="1"/>
    <row r="46" ht="6.75" customHeight="1"/>
    <row r="47" ht="6" customHeight="1"/>
  </sheetData>
  <sheetProtection/>
  <mergeCells count="10">
    <mergeCell ref="B2:T2"/>
    <mergeCell ref="B3:T3"/>
    <mergeCell ref="D6:F6"/>
    <mergeCell ref="K6:M6"/>
    <mergeCell ref="B33:U33"/>
    <mergeCell ref="D7:F7"/>
    <mergeCell ref="K7:M7"/>
    <mergeCell ref="D19:F19"/>
    <mergeCell ref="D20:F20"/>
    <mergeCell ref="P7:S7"/>
  </mergeCells>
  <printOptions/>
  <pageMargins left="0.7479166666666667" right="0.7479166666666667" top="0.75" bottom="0.75" header="0.5118055555555555" footer="0.5118055555555555"/>
  <pageSetup horizontalDpi="300" verticalDpi="300" orientation="landscape" scale="97" r:id="rId4"/>
  <drawing r:id="rId3"/>
  <legacyDrawing r:id="rId2"/>
  <oleObjects>
    <oleObject progId="Microsoft Equation 3.0" shapeId="163431868" r:id="rId1"/>
  </oleObjects>
</worksheet>
</file>

<file path=xl/worksheets/sheet8.xml><?xml version="1.0" encoding="utf-8"?>
<worksheet xmlns="http://schemas.openxmlformats.org/spreadsheetml/2006/main" xmlns:r="http://schemas.openxmlformats.org/officeDocument/2006/relationships">
  <sheetPr codeName="Sheet6"/>
  <dimension ref="A1:AP104"/>
  <sheetViews>
    <sheetView showGridLines="0" showZeros="0" view="pageBreakPreview" zoomScale="80" zoomScaleNormal="85" zoomScaleSheetLayoutView="80" zoomScalePageLayoutView="0" workbookViewId="0" topLeftCell="A1">
      <pane ySplit="1" topLeftCell="A2" activePane="bottomLeft" state="frozen"/>
      <selection pane="topLeft" activeCell="A1" sqref="A1"/>
      <selection pane="bottomLeft" activeCell="L9" sqref="L9"/>
    </sheetView>
  </sheetViews>
  <sheetFormatPr defaultColWidth="9.140625" defaultRowHeight="12.75"/>
  <cols>
    <col min="1" max="1" width="5.7109375" style="127" customWidth="1"/>
    <col min="2" max="2" width="3.140625" style="127" customWidth="1"/>
    <col min="3" max="3" width="93.140625" style="138" customWidth="1"/>
    <col min="4" max="8" width="9.140625" style="127" hidden="1" customWidth="1"/>
    <col min="9" max="9" width="9.140625" style="127" customWidth="1"/>
    <col min="10" max="10" width="9.140625" style="127" hidden="1" customWidth="1"/>
    <col min="11" max="12" width="9.140625" style="127" customWidth="1"/>
    <col min="13" max="13" width="10.57421875" style="127" customWidth="1"/>
    <col min="14" max="14" width="7.00390625" style="127" customWidth="1"/>
    <col min="15" max="15" width="2.421875" style="127" customWidth="1"/>
    <col min="16" max="16" width="0" style="127" hidden="1" customWidth="1"/>
    <col min="17" max="17" width="0" style="222" hidden="1" customWidth="1"/>
    <col min="18" max="35" width="0" style="127" hidden="1" customWidth="1"/>
    <col min="36" max="37" width="9.140625" style="127" customWidth="1"/>
    <col min="38" max="38" width="14.421875" style="127" customWidth="1"/>
    <col min="39" max="40" width="23.00390625" style="127" customWidth="1"/>
    <col min="41" max="41" width="17.28125" style="127" customWidth="1"/>
    <col min="42" max="42" width="14.8515625" style="127" customWidth="1"/>
    <col min="43" max="16384" width="9.140625" style="127" customWidth="1"/>
  </cols>
  <sheetData>
    <row r="1" spans="1:41" ht="26.25" customHeight="1">
      <c r="A1" s="223"/>
      <c r="B1" s="223"/>
      <c r="C1" s="208" t="s">
        <v>223</v>
      </c>
      <c r="D1" s="223" t="s">
        <v>223</v>
      </c>
      <c r="E1" s="223" t="s">
        <v>224</v>
      </c>
      <c r="F1" s="441" t="s">
        <v>225</v>
      </c>
      <c r="G1" s="441"/>
      <c r="H1" s="441"/>
      <c r="I1" s="226" t="s">
        <v>731</v>
      </c>
      <c r="J1" s="226" t="s">
        <v>735</v>
      </c>
      <c r="K1" s="226" t="s">
        <v>732</v>
      </c>
      <c r="L1" s="226" t="s">
        <v>746</v>
      </c>
      <c r="M1" s="226" t="s">
        <v>839</v>
      </c>
      <c r="P1" s="223" t="s">
        <v>226</v>
      </c>
      <c r="Q1" s="224" t="s">
        <v>227</v>
      </c>
      <c r="R1" s="223" t="s">
        <v>228</v>
      </c>
      <c r="S1" s="223" t="s">
        <v>229</v>
      </c>
      <c r="T1" s="223" t="s">
        <v>230</v>
      </c>
      <c r="U1" s="223" t="s">
        <v>231</v>
      </c>
      <c r="V1" s="223" t="s">
        <v>232</v>
      </c>
      <c r="W1" s="223"/>
      <c r="X1" s="223"/>
      <c r="Y1" s="223" t="s">
        <v>233</v>
      </c>
      <c r="AA1" s="127" t="s">
        <v>234</v>
      </c>
      <c r="AB1" s="225"/>
      <c r="AC1" s="225"/>
      <c r="AD1" s="225"/>
      <c r="AE1" s="225"/>
      <c r="AL1" s="127" t="s">
        <v>235</v>
      </c>
      <c r="AM1" s="127" t="s">
        <v>236</v>
      </c>
      <c r="AO1" s="127" t="s">
        <v>237</v>
      </c>
    </row>
    <row r="2" spans="6:41" ht="14.25" customHeight="1">
      <c r="F2" s="127" t="s">
        <v>238</v>
      </c>
      <c r="G2" s="127" t="s">
        <v>239</v>
      </c>
      <c r="H2" s="127" t="s">
        <v>240</v>
      </c>
      <c r="N2" s="127" t="s">
        <v>241</v>
      </c>
      <c r="P2" s="223" t="s">
        <v>242</v>
      </c>
      <c r="Q2" s="224" t="s">
        <v>243</v>
      </c>
      <c r="R2" s="223" t="s">
        <v>244</v>
      </c>
      <c r="S2" s="223" t="s">
        <v>245</v>
      </c>
      <c r="T2" s="223" t="s">
        <v>246</v>
      </c>
      <c r="U2" s="223" t="s">
        <v>247</v>
      </c>
      <c r="V2" s="223" t="s">
        <v>248</v>
      </c>
      <c r="W2" s="223" t="s">
        <v>238</v>
      </c>
      <c r="X2" s="223" t="s">
        <v>249</v>
      </c>
      <c r="Y2" s="223" t="s">
        <v>250</v>
      </c>
      <c r="AA2" s="226"/>
      <c r="AB2" s="442" t="s">
        <v>251</v>
      </c>
      <c r="AC2" s="442"/>
      <c r="AD2" s="442" t="s">
        <v>252</v>
      </c>
      <c r="AE2" s="442"/>
      <c r="AG2" s="228" t="s">
        <v>253</v>
      </c>
      <c r="AH2" s="229">
        <v>20370</v>
      </c>
      <c r="AI2" s="228">
        <v>1</v>
      </c>
      <c r="AL2" s="127" t="s">
        <v>254</v>
      </c>
      <c r="AM2" s="127">
        <v>43.3</v>
      </c>
      <c r="AO2" s="127" t="s">
        <v>255</v>
      </c>
    </row>
    <row r="3" spans="2:41" ht="63.75">
      <c r="B3" s="127">
        <f aca="true" t="shared" si="0" ref="B3:B68">B2+1</f>
        <v>1</v>
      </c>
      <c r="C3" s="138" t="s">
        <v>256</v>
      </c>
      <c r="D3" s="127" t="s">
        <v>257</v>
      </c>
      <c r="I3" s="225"/>
      <c r="N3" s="222" t="s">
        <v>95</v>
      </c>
      <c r="P3" s="127" t="s">
        <v>258</v>
      </c>
      <c r="Q3" s="230" t="s">
        <v>259</v>
      </c>
      <c r="R3" s="231">
        <v>37845</v>
      </c>
      <c r="S3" s="127" t="s">
        <v>260</v>
      </c>
      <c r="T3" s="127" t="s">
        <v>261</v>
      </c>
      <c r="U3" s="127" t="s">
        <v>262</v>
      </c>
      <c r="V3" s="127" t="s">
        <v>263</v>
      </c>
      <c r="W3" s="127">
        <v>17.7</v>
      </c>
      <c r="X3" s="127">
        <v>20.3</v>
      </c>
      <c r="Y3" s="225">
        <f>1000*AVERAGE(W3:X3)</f>
        <v>19000</v>
      </c>
      <c r="AA3" s="226"/>
      <c r="AB3" s="227" t="s">
        <v>264</v>
      </c>
      <c r="AC3" s="227" t="s">
        <v>265</v>
      </c>
      <c r="AD3" s="227" t="s">
        <v>264</v>
      </c>
      <c r="AE3" s="227" t="s">
        <v>265</v>
      </c>
      <c r="AG3" s="228" t="s">
        <v>266</v>
      </c>
      <c r="AH3" s="229">
        <v>15687</v>
      </c>
      <c r="AI3" s="228">
        <v>1</v>
      </c>
      <c r="AM3" s="127">
        <v>43.6</v>
      </c>
      <c r="AO3" s="127" t="s">
        <v>267</v>
      </c>
    </row>
    <row r="4" spans="2:41" ht="12.75">
      <c r="B4" s="127">
        <f t="shared" si="0"/>
        <v>2</v>
      </c>
      <c r="C4" s="232" t="s">
        <v>269</v>
      </c>
      <c r="I4" s="225">
        <f>ROUND(AVERAGE(AM5:AM8)*1000,-2)</f>
        <v>48000</v>
      </c>
      <c r="J4" s="225"/>
      <c r="K4" s="225">
        <f>I4-3300</f>
        <v>44700</v>
      </c>
      <c r="L4" s="334">
        <v>0</v>
      </c>
      <c r="M4" s="370">
        <v>0.818</v>
      </c>
      <c r="P4" s="127" t="s">
        <v>270</v>
      </c>
      <c r="Q4" s="222">
        <v>17</v>
      </c>
      <c r="R4" s="127">
        <v>8</v>
      </c>
      <c r="S4" s="127" t="s">
        <v>260</v>
      </c>
      <c r="U4" s="127" t="s">
        <v>262</v>
      </c>
      <c r="V4" s="127" t="s">
        <v>271</v>
      </c>
      <c r="W4" s="127">
        <v>18.7</v>
      </c>
      <c r="Y4" s="225">
        <f aca="true" t="shared" si="1" ref="Y4:Y55">1000*AVERAGE(W4:X4)</f>
        <v>18700</v>
      </c>
      <c r="AA4" s="127" t="s">
        <v>272</v>
      </c>
      <c r="AB4" s="225">
        <v>8950</v>
      </c>
      <c r="AC4" s="225">
        <v>8150</v>
      </c>
      <c r="AD4" s="225">
        <f aca="true" t="shared" si="2" ref="AD4:AE16">AB4*1.055*2.2</f>
        <v>20772.95</v>
      </c>
      <c r="AE4" s="225">
        <f t="shared" si="2"/>
        <v>18916.15</v>
      </c>
      <c r="AG4" s="228" t="s">
        <v>273</v>
      </c>
      <c r="AH4" s="229">
        <v>19530</v>
      </c>
      <c r="AI4" s="228">
        <v>1</v>
      </c>
      <c r="AM4" s="127">
        <v>43.1</v>
      </c>
      <c r="AO4" s="127" t="s">
        <v>274</v>
      </c>
    </row>
    <row r="5" spans="2:41" ht="12.75">
      <c r="B5" s="127">
        <f t="shared" si="0"/>
        <v>3</v>
      </c>
      <c r="C5" s="232" t="s">
        <v>254</v>
      </c>
      <c r="I5" s="225">
        <f>ROUND(AVERAGE(AM2:AM4)*1000,-2)</f>
        <v>43300</v>
      </c>
      <c r="J5" s="225"/>
      <c r="K5" s="225">
        <f>I5-3600</f>
        <v>39700</v>
      </c>
      <c r="L5" s="334">
        <v>0</v>
      </c>
      <c r="M5" s="370">
        <v>0.845</v>
      </c>
      <c r="P5" s="127" t="s">
        <v>276</v>
      </c>
      <c r="Q5" s="222" t="s">
        <v>271</v>
      </c>
      <c r="R5" s="127" t="s">
        <v>271</v>
      </c>
      <c r="S5" s="127" t="s">
        <v>260</v>
      </c>
      <c r="U5" s="127" t="s">
        <v>262</v>
      </c>
      <c r="V5" s="127">
        <v>840</v>
      </c>
      <c r="W5" s="127">
        <v>19.2</v>
      </c>
      <c r="Y5" s="225">
        <f t="shared" si="1"/>
        <v>19200</v>
      </c>
      <c r="AA5" s="127" t="s">
        <v>277</v>
      </c>
      <c r="AB5" s="225"/>
      <c r="AC5" s="225">
        <v>8150</v>
      </c>
      <c r="AD5" s="225">
        <f t="shared" si="2"/>
        <v>0</v>
      </c>
      <c r="AE5" s="225">
        <f t="shared" si="2"/>
        <v>18916.15</v>
      </c>
      <c r="AG5" s="127" t="s">
        <v>278</v>
      </c>
      <c r="AH5" s="225">
        <v>20475</v>
      </c>
      <c r="AI5" s="127">
        <v>1</v>
      </c>
      <c r="AL5" s="127" t="s">
        <v>269</v>
      </c>
      <c r="AM5" s="127">
        <v>49</v>
      </c>
      <c r="AO5" s="127" t="s">
        <v>255</v>
      </c>
    </row>
    <row r="6" spans="2:41" ht="12.75">
      <c r="B6" s="127">
        <f t="shared" si="0"/>
        <v>4</v>
      </c>
      <c r="C6" s="232" t="s">
        <v>787</v>
      </c>
      <c r="I6" s="225">
        <v>29800</v>
      </c>
      <c r="J6" s="225"/>
      <c r="K6" s="225">
        <v>26700</v>
      </c>
      <c r="L6" s="334">
        <v>0</v>
      </c>
      <c r="M6" s="370">
        <f>0.522</f>
        <v>0.522</v>
      </c>
      <c r="Y6" s="225"/>
      <c r="AB6" s="225"/>
      <c r="AC6" s="225"/>
      <c r="AD6" s="225"/>
      <c r="AE6" s="225"/>
      <c r="AH6" s="225"/>
      <c r="AM6" s="127">
        <v>47.1</v>
      </c>
      <c r="AO6" s="127" t="s">
        <v>267</v>
      </c>
    </row>
    <row r="7" spans="2:41" ht="12.75">
      <c r="B7" s="127">
        <f t="shared" si="0"/>
        <v>5</v>
      </c>
      <c r="C7" s="232" t="s">
        <v>788</v>
      </c>
      <c r="I7" s="225">
        <v>22700</v>
      </c>
      <c r="J7" s="225"/>
      <c r="K7" s="225">
        <v>21100</v>
      </c>
      <c r="L7" s="334">
        <v>0</v>
      </c>
      <c r="M7" s="370">
        <v>0.375</v>
      </c>
      <c r="Y7" s="225"/>
      <c r="AB7" s="225"/>
      <c r="AC7" s="225"/>
      <c r="AD7" s="225"/>
      <c r="AE7" s="225"/>
      <c r="AH7" s="225"/>
      <c r="AM7" s="127">
        <v>45.8</v>
      </c>
      <c r="AO7" s="127" t="s">
        <v>274</v>
      </c>
    </row>
    <row r="8" spans="2:41" ht="12.75">
      <c r="B8" s="127">
        <f t="shared" si="0"/>
        <v>6</v>
      </c>
      <c r="C8" s="232" t="s">
        <v>280</v>
      </c>
      <c r="I8" s="225">
        <v>31000</v>
      </c>
      <c r="J8" s="225"/>
      <c r="K8" s="225">
        <f>I8-1200</f>
        <v>29800</v>
      </c>
      <c r="L8" s="334">
        <v>29800</v>
      </c>
      <c r="M8" s="370">
        <v>0.95</v>
      </c>
      <c r="Y8" s="225"/>
      <c r="AB8" s="225"/>
      <c r="AC8" s="225"/>
      <c r="AD8" s="225"/>
      <c r="AE8" s="225"/>
      <c r="AH8" s="225"/>
      <c r="AM8" s="127">
        <v>50.1</v>
      </c>
      <c r="AO8" s="127" t="s">
        <v>285</v>
      </c>
    </row>
    <row r="9" spans="2:41" ht="12.75">
      <c r="B9" s="127">
        <f t="shared" si="0"/>
        <v>7</v>
      </c>
      <c r="C9" s="232" t="s">
        <v>282</v>
      </c>
      <c r="I9" s="225">
        <f>ROUND(AVERAGE(AM31:AM36)*1000+(0.05*(75*4.2/1000+2.26)/0.95),-2)</f>
        <v>24700</v>
      </c>
      <c r="J9" s="225"/>
      <c r="K9" s="225">
        <f>I9-1200</f>
        <v>23500</v>
      </c>
      <c r="L9" s="271">
        <v>29500</v>
      </c>
      <c r="M9" s="342">
        <v>0.75</v>
      </c>
      <c r="Y9" s="225"/>
      <c r="AB9" s="225"/>
      <c r="AC9" s="225"/>
      <c r="AD9" s="225"/>
      <c r="AE9" s="225"/>
      <c r="AH9" s="225"/>
      <c r="AL9" s="127" t="s">
        <v>287</v>
      </c>
      <c r="AM9" s="127">
        <v>51.3</v>
      </c>
      <c r="AO9" s="127" t="s">
        <v>255</v>
      </c>
    </row>
    <row r="10" spans="2:34" ht="12.75">
      <c r="B10" s="127">
        <f t="shared" si="0"/>
        <v>8</v>
      </c>
      <c r="C10" s="232" t="s">
        <v>284</v>
      </c>
      <c r="I10" s="225">
        <f>ROUND(AVERAGE(AM22:AM27)*1000+(0.07*(75*4.2/1000+2.26)/0.93),-2)</f>
        <v>14700</v>
      </c>
      <c r="J10" s="225"/>
      <c r="K10" s="225">
        <f>I10-1320</f>
        <v>13380</v>
      </c>
      <c r="L10" s="271">
        <v>29500</v>
      </c>
      <c r="M10" s="342">
        <v>0.5</v>
      </c>
      <c r="Y10" s="225"/>
      <c r="AB10" s="225"/>
      <c r="AC10" s="225"/>
      <c r="AD10" s="225"/>
      <c r="AE10" s="225"/>
      <c r="AH10" s="225"/>
    </row>
    <row r="11" spans="2:41" ht="12.75">
      <c r="B11" s="127">
        <f t="shared" si="0"/>
        <v>9</v>
      </c>
      <c r="C11" s="232" t="s">
        <v>286</v>
      </c>
      <c r="I11" s="225">
        <f>ROUND(AVERAGE(AM28:AM29)*1000+(0.06*(75*4.2/1000+2.26)/0.94),-2)</f>
        <v>13600</v>
      </c>
      <c r="J11" s="225"/>
      <c r="K11" s="225">
        <f aca="true" t="shared" si="3" ref="K11:K74">I11-1320</f>
        <v>12280</v>
      </c>
      <c r="L11" s="271">
        <v>29500</v>
      </c>
      <c r="M11" s="342">
        <v>0.5</v>
      </c>
      <c r="Y11" s="225"/>
      <c r="AB11" s="225"/>
      <c r="AC11" s="225"/>
      <c r="AD11" s="225"/>
      <c r="AE11" s="225"/>
      <c r="AH11" s="225"/>
      <c r="AL11" s="127" t="s">
        <v>291</v>
      </c>
      <c r="AM11" s="127">
        <v>17.7</v>
      </c>
      <c r="AO11" s="127" t="s">
        <v>274</v>
      </c>
    </row>
    <row r="12" spans="2:35" ht="12.75">
      <c r="B12" s="127">
        <f t="shared" si="0"/>
        <v>10</v>
      </c>
      <c r="C12" s="138" t="s">
        <v>288</v>
      </c>
      <c r="D12" s="127" t="s">
        <v>288</v>
      </c>
      <c r="I12" s="225">
        <v>19734</v>
      </c>
      <c r="K12" s="225">
        <f t="shared" si="3"/>
        <v>18414</v>
      </c>
      <c r="L12" s="271">
        <v>29500</v>
      </c>
      <c r="M12" s="342">
        <v>0.5</v>
      </c>
      <c r="N12" s="127">
        <v>3</v>
      </c>
      <c r="P12" s="127" t="s">
        <v>294</v>
      </c>
      <c r="Q12" s="222">
        <v>19</v>
      </c>
      <c r="R12" s="127">
        <v>20</v>
      </c>
      <c r="S12" s="127" t="s">
        <v>260</v>
      </c>
      <c r="U12" s="127" t="s">
        <v>262</v>
      </c>
      <c r="V12" s="127" t="s">
        <v>271</v>
      </c>
      <c r="W12" s="127">
        <v>21.8</v>
      </c>
      <c r="Y12" s="225">
        <f t="shared" si="1"/>
        <v>21800</v>
      </c>
      <c r="AA12" s="127" t="s">
        <v>295</v>
      </c>
      <c r="AB12" s="225">
        <v>9000</v>
      </c>
      <c r="AC12" s="225">
        <v>8800</v>
      </c>
      <c r="AD12" s="225">
        <f t="shared" si="2"/>
        <v>20889</v>
      </c>
      <c r="AE12" s="225">
        <f t="shared" si="2"/>
        <v>20424.800000000003</v>
      </c>
      <c r="AG12" s="127" t="s">
        <v>296</v>
      </c>
      <c r="AH12" s="225">
        <v>18480</v>
      </c>
      <c r="AI12" s="127">
        <v>1</v>
      </c>
    </row>
    <row r="13" spans="2:38" ht="12.75">
      <c r="B13" s="127">
        <f t="shared" si="0"/>
        <v>11</v>
      </c>
      <c r="C13" s="138" t="s">
        <v>289</v>
      </c>
      <c r="D13" s="127" t="s">
        <v>290</v>
      </c>
      <c r="I13" s="225">
        <v>20817</v>
      </c>
      <c r="J13" s="225"/>
      <c r="K13" s="225">
        <f t="shared" si="3"/>
        <v>19497</v>
      </c>
      <c r="L13" s="271">
        <v>29500</v>
      </c>
      <c r="M13" s="342">
        <v>0.5</v>
      </c>
      <c r="N13" s="127">
        <v>3</v>
      </c>
      <c r="P13" s="127" t="s">
        <v>300</v>
      </c>
      <c r="Q13" s="230" t="s">
        <v>301</v>
      </c>
      <c r="R13" s="231">
        <v>37812</v>
      </c>
      <c r="S13" s="127" t="s">
        <v>260</v>
      </c>
      <c r="T13" s="127" t="s">
        <v>261</v>
      </c>
      <c r="U13" s="127" t="s">
        <v>262</v>
      </c>
      <c r="V13" s="127" t="s">
        <v>302</v>
      </c>
      <c r="W13" s="127">
        <v>16.7</v>
      </c>
      <c r="X13" s="127">
        <v>19.3</v>
      </c>
      <c r="Y13" s="225">
        <f t="shared" si="1"/>
        <v>18000</v>
      </c>
      <c r="AA13" s="127" t="s">
        <v>303</v>
      </c>
      <c r="AB13" s="225">
        <v>7250</v>
      </c>
      <c r="AC13" s="225"/>
      <c r="AD13" s="225">
        <f t="shared" si="2"/>
        <v>16827.25</v>
      </c>
      <c r="AE13" s="225">
        <f t="shared" si="2"/>
        <v>0</v>
      </c>
      <c r="AG13" s="228" t="s">
        <v>304</v>
      </c>
      <c r="AH13" s="229">
        <v>13066.2</v>
      </c>
      <c r="AI13" s="228">
        <v>1</v>
      </c>
      <c r="AL13" s="234"/>
    </row>
    <row r="14" spans="2:41" ht="12.75">
      <c r="B14" s="127">
        <f t="shared" si="0"/>
        <v>12</v>
      </c>
      <c r="C14" s="138" t="s">
        <v>292</v>
      </c>
      <c r="D14" s="127" t="s">
        <v>293</v>
      </c>
      <c r="E14" s="127" t="s">
        <v>272</v>
      </c>
      <c r="I14" s="225">
        <f>VLOOKUP(E14,'Calorific values'!AA4:AE26,5)</f>
        <v>18916.15</v>
      </c>
      <c r="J14" s="225"/>
      <c r="K14" s="225">
        <f t="shared" si="3"/>
        <v>17596.15</v>
      </c>
      <c r="L14" s="271">
        <v>29500</v>
      </c>
      <c r="M14" s="342">
        <v>0.5</v>
      </c>
      <c r="N14" s="127">
        <v>2</v>
      </c>
      <c r="P14" s="127" t="s">
        <v>308</v>
      </c>
      <c r="Q14" s="222" t="s">
        <v>309</v>
      </c>
      <c r="R14" s="231">
        <v>37756</v>
      </c>
      <c r="S14" s="127" t="s">
        <v>260</v>
      </c>
      <c r="T14" s="127" t="s">
        <v>261</v>
      </c>
      <c r="U14" s="127" t="s">
        <v>310</v>
      </c>
      <c r="V14" s="127">
        <v>330</v>
      </c>
      <c r="W14" s="127">
        <v>18.1</v>
      </c>
      <c r="Y14" s="225">
        <f t="shared" si="1"/>
        <v>18100</v>
      </c>
      <c r="AA14" s="127" t="s">
        <v>311</v>
      </c>
      <c r="AB14" s="225">
        <v>9790</v>
      </c>
      <c r="AC14" s="225">
        <v>8890</v>
      </c>
      <c r="AD14" s="225">
        <f t="shared" si="2"/>
        <v>22722.59</v>
      </c>
      <c r="AE14" s="225">
        <f t="shared" si="2"/>
        <v>20633.69</v>
      </c>
      <c r="AG14" s="127" t="s">
        <v>312</v>
      </c>
      <c r="AH14" s="225">
        <v>21840</v>
      </c>
      <c r="AI14" s="127">
        <v>1</v>
      </c>
      <c r="AL14" s="234" t="s">
        <v>235</v>
      </c>
      <c r="AM14" s="127" t="s">
        <v>236</v>
      </c>
      <c r="AO14" s="127" t="s">
        <v>237</v>
      </c>
    </row>
    <row r="15" spans="2:42" ht="12.75">
      <c r="B15" s="127">
        <f t="shared" si="0"/>
        <v>13</v>
      </c>
      <c r="C15" s="138" t="s">
        <v>297</v>
      </c>
      <c r="D15" s="127" t="s">
        <v>298</v>
      </c>
      <c r="E15" s="127" t="s">
        <v>299</v>
      </c>
      <c r="F15" s="127">
        <v>4800</v>
      </c>
      <c r="G15" s="127">
        <v>4900</v>
      </c>
      <c r="H15" s="233">
        <f>AVERAGE(F15,G15)</f>
        <v>4850</v>
      </c>
      <c r="I15" s="225">
        <f>H15*4.2</f>
        <v>20370</v>
      </c>
      <c r="J15" s="225"/>
      <c r="K15" s="225">
        <f t="shared" si="3"/>
        <v>19050</v>
      </c>
      <c r="L15" s="271">
        <v>29500</v>
      </c>
      <c r="M15" s="342">
        <v>0.5</v>
      </c>
      <c r="N15" s="127">
        <v>1</v>
      </c>
      <c r="P15" s="127" t="s">
        <v>316</v>
      </c>
      <c r="Q15" s="222">
        <v>5</v>
      </c>
      <c r="R15" s="231">
        <v>37909</v>
      </c>
      <c r="S15" s="127" t="s">
        <v>260</v>
      </c>
      <c r="T15" s="127" t="s">
        <v>261</v>
      </c>
      <c r="U15" s="127" t="s">
        <v>317</v>
      </c>
      <c r="V15" s="127" t="s">
        <v>318</v>
      </c>
      <c r="W15" s="127">
        <v>21.8</v>
      </c>
      <c r="Y15" s="225">
        <f t="shared" si="1"/>
        <v>21800</v>
      </c>
      <c r="AA15" s="127" t="s">
        <v>319</v>
      </c>
      <c r="AB15" s="225">
        <v>8870</v>
      </c>
      <c r="AC15" s="225">
        <v>8410</v>
      </c>
      <c r="AD15" s="225">
        <f t="shared" si="2"/>
        <v>20587.269999999997</v>
      </c>
      <c r="AE15" s="225">
        <f t="shared" si="2"/>
        <v>19519.61</v>
      </c>
      <c r="AG15" s="127" t="s">
        <v>320</v>
      </c>
      <c r="AH15" s="225">
        <v>19320</v>
      </c>
      <c r="AI15" s="127">
        <v>1</v>
      </c>
      <c r="AL15" s="234" t="s">
        <v>280</v>
      </c>
      <c r="AM15" s="127">
        <v>25.7</v>
      </c>
      <c r="AN15" s="127" t="s">
        <v>321</v>
      </c>
      <c r="AO15" s="127" t="s">
        <v>274</v>
      </c>
      <c r="AP15" s="378"/>
    </row>
    <row r="16" spans="2:41" ht="12.75">
      <c r="B16" s="127">
        <f t="shared" si="0"/>
        <v>14</v>
      </c>
      <c r="C16" s="138" t="s">
        <v>305</v>
      </c>
      <c r="D16" s="127" t="s">
        <v>306</v>
      </c>
      <c r="E16" s="127" t="s">
        <v>307</v>
      </c>
      <c r="H16" s="233"/>
      <c r="I16" s="225">
        <v>18700</v>
      </c>
      <c r="J16" s="225"/>
      <c r="K16" s="225">
        <f t="shared" si="3"/>
        <v>17380</v>
      </c>
      <c r="L16" s="271">
        <v>29500</v>
      </c>
      <c r="M16" s="342">
        <v>0.5</v>
      </c>
      <c r="N16" s="127">
        <v>4</v>
      </c>
      <c r="P16" s="127" t="s">
        <v>325</v>
      </c>
      <c r="Q16" s="222" t="s">
        <v>271</v>
      </c>
      <c r="R16" s="127" t="s">
        <v>271</v>
      </c>
      <c r="S16" s="127" t="s">
        <v>260</v>
      </c>
      <c r="T16" s="127" t="s">
        <v>261</v>
      </c>
      <c r="U16" s="127" t="s">
        <v>317</v>
      </c>
      <c r="V16" s="127">
        <v>660</v>
      </c>
      <c r="W16" s="127">
        <v>19.7</v>
      </c>
      <c r="Y16" s="225">
        <f t="shared" si="1"/>
        <v>19700</v>
      </c>
      <c r="AA16" s="127" t="s">
        <v>326</v>
      </c>
      <c r="AB16" s="225"/>
      <c r="AC16" s="225">
        <v>8170</v>
      </c>
      <c r="AD16" s="225">
        <f t="shared" si="2"/>
        <v>0</v>
      </c>
      <c r="AE16" s="225">
        <f t="shared" si="2"/>
        <v>18962.570000000003</v>
      </c>
      <c r="AG16" s="127" t="s">
        <v>327</v>
      </c>
      <c r="AH16" s="225">
        <v>20580</v>
      </c>
      <c r="AI16" s="127">
        <v>1</v>
      </c>
      <c r="AL16" s="234"/>
      <c r="AM16" s="127">
        <v>27.6</v>
      </c>
      <c r="AN16" s="127" t="s">
        <v>328</v>
      </c>
      <c r="AO16" s="127" t="s">
        <v>329</v>
      </c>
    </row>
    <row r="17" spans="2:41" ht="12.75">
      <c r="B17" s="127">
        <f t="shared" si="0"/>
        <v>15</v>
      </c>
      <c r="C17" s="138" t="s">
        <v>313</v>
      </c>
      <c r="D17" s="127" t="s">
        <v>314</v>
      </c>
      <c r="E17" s="127" t="s">
        <v>315</v>
      </c>
      <c r="I17" s="225">
        <v>19200</v>
      </c>
      <c r="K17" s="225">
        <f t="shared" si="3"/>
        <v>17880</v>
      </c>
      <c r="L17" s="271">
        <v>29500</v>
      </c>
      <c r="M17" s="342">
        <v>0.5</v>
      </c>
      <c r="N17" s="127">
        <v>4</v>
      </c>
      <c r="P17" s="127" t="s">
        <v>333</v>
      </c>
      <c r="Q17" s="230" t="s">
        <v>259</v>
      </c>
      <c r="R17" s="127" t="s">
        <v>334</v>
      </c>
      <c r="S17" s="127" t="s">
        <v>260</v>
      </c>
      <c r="T17" s="127" t="s">
        <v>261</v>
      </c>
      <c r="U17" s="127" t="s">
        <v>335</v>
      </c>
      <c r="V17" s="127" t="s">
        <v>336</v>
      </c>
      <c r="W17" s="127">
        <v>16</v>
      </c>
      <c r="X17" s="127">
        <v>18.3</v>
      </c>
      <c r="Y17" s="225">
        <f t="shared" si="1"/>
        <v>17150</v>
      </c>
      <c r="AA17" s="127" t="s">
        <v>337</v>
      </c>
      <c r="AB17" s="225"/>
      <c r="AC17" s="225">
        <v>9110</v>
      </c>
      <c r="AD17" s="225"/>
      <c r="AE17" s="225">
        <f aca="true" t="shared" si="4" ref="AE17:AE26">AC17*1.055*2.2</f>
        <v>21144.31</v>
      </c>
      <c r="AG17" s="127" t="s">
        <v>338</v>
      </c>
      <c r="AH17" s="225">
        <v>19320</v>
      </c>
      <c r="AI17" s="127">
        <v>1</v>
      </c>
      <c r="AL17" s="234"/>
      <c r="AM17" s="127">
        <v>29.2</v>
      </c>
      <c r="AN17" s="127" t="s">
        <v>328</v>
      </c>
      <c r="AO17" s="127" t="s">
        <v>329</v>
      </c>
    </row>
    <row r="18" spans="2:41" ht="12.75">
      <c r="B18" s="127">
        <f t="shared" si="0"/>
        <v>16</v>
      </c>
      <c r="C18" s="138" t="s">
        <v>322</v>
      </c>
      <c r="D18" s="127" t="s">
        <v>323</v>
      </c>
      <c r="E18" s="127" t="s">
        <v>324</v>
      </c>
      <c r="I18" s="225">
        <v>21800</v>
      </c>
      <c r="K18" s="225">
        <f t="shared" si="3"/>
        <v>20480</v>
      </c>
      <c r="L18" s="271">
        <v>29500</v>
      </c>
      <c r="M18" s="342">
        <v>0.5</v>
      </c>
      <c r="N18" s="127">
        <v>4</v>
      </c>
      <c r="P18" s="127" t="s">
        <v>342</v>
      </c>
      <c r="Q18" s="222" t="s">
        <v>271</v>
      </c>
      <c r="R18" s="127" t="s">
        <v>271</v>
      </c>
      <c r="S18" s="127" t="s">
        <v>343</v>
      </c>
      <c r="T18" s="127" t="s">
        <v>344</v>
      </c>
      <c r="U18" s="127" t="s">
        <v>345</v>
      </c>
      <c r="V18" s="127">
        <v>560</v>
      </c>
      <c r="W18" s="127">
        <v>19.2</v>
      </c>
      <c r="Y18" s="225">
        <f t="shared" si="1"/>
        <v>19200</v>
      </c>
      <c r="AA18" s="127" t="s">
        <v>346</v>
      </c>
      <c r="AB18" s="225"/>
      <c r="AC18" s="225">
        <v>8050</v>
      </c>
      <c r="AD18" s="225">
        <f aca="true" t="shared" si="5" ref="AD18:AD26">AB18*1.055*2.2</f>
        <v>0</v>
      </c>
      <c r="AE18" s="225">
        <f t="shared" si="4"/>
        <v>18684.050000000003</v>
      </c>
      <c r="AG18" s="228" t="s">
        <v>347</v>
      </c>
      <c r="AH18" s="229">
        <v>19425</v>
      </c>
      <c r="AI18" s="228">
        <v>1</v>
      </c>
      <c r="AL18" s="234"/>
      <c r="AM18" s="127">
        <v>30</v>
      </c>
      <c r="AN18" s="127" t="s">
        <v>328</v>
      </c>
      <c r="AO18" s="127" t="s">
        <v>329</v>
      </c>
    </row>
    <row r="19" spans="2:41" ht="12.75">
      <c r="B19" s="127">
        <f t="shared" si="0"/>
        <v>17</v>
      </c>
      <c r="C19" s="138" t="s">
        <v>330</v>
      </c>
      <c r="D19" s="127" t="s">
        <v>331</v>
      </c>
      <c r="E19" s="127" t="s">
        <v>332</v>
      </c>
      <c r="F19" s="127">
        <v>4650</v>
      </c>
      <c r="H19" s="233">
        <f>AVERAGE(F19,G19)</f>
        <v>4650</v>
      </c>
      <c r="I19" s="225">
        <f>H19*4.2</f>
        <v>19530</v>
      </c>
      <c r="J19" s="225"/>
      <c r="K19" s="225">
        <f t="shared" si="3"/>
        <v>18210</v>
      </c>
      <c r="L19" s="271">
        <v>29500</v>
      </c>
      <c r="M19" s="342">
        <v>0.5</v>
      </c>
      <c r="N19" s="127">
        <v>1</v>
      </c>
      <c r="P19" s="127" t="s">
        <v>351</v>
      </c>
      <c r="Q19" s="222">
        <v>15</v>
      </c>
      <c r="R19" s="127">
        <v>9</v>
      </c>
      <c r="S19" s="127" t="s">
        <v>343</v>
      </c>
      <c r="T19" s="127" t="s">
        <v>344</v>
      </c>
      <c r="U19" s="127" t="s">
        <v>345</v>
      </c>
      <c r="V19" s="127">
        <v>330</v>
      </c>
      <c r="W19" s="127">
        <v>18.9</v>
      </c>
      <c r="X19" s="127">
        <v>19.8</v>
      </c>
      <c r="Y19" s="225">
        <f t="shared" si="1"/>
        <v>19350</v>
      </c>
      <c r="AA19" s="127" t="s">
        <v>352</v>
      </c>
      <c r="AB19" s="225">
        <v>8410</v>
      </c>
      <c r="AC19" s="225">
        <v>7990</v>
      </c>
      <c r="AD19" s="225">
        <f t="shared" si="5"/>
        <v>19519.61</v>
      </c>
      <c r="AE19" s="225">
        <f t="shared" si="4"/>
        <v>18544.79</v>
      </c>
      <c r="AG19" s="228" t="s">
        <v>353</v>
      </c>
      <c r="AH19" s="229">
        <v>20790</v>
      </c>
      <c r="AI19" s="228">
        <v>1</v>
      </c>
      <c r="AL19" s="234"/>
      <c r="AM19" s="127">
        <v>30.7</v>
      </c>
      <c r="AN19" s="127" t="s">
        <v>328</v>
      </c>
      <c r="AO19" s="127" t="s">
        <v>329</v>
      </c>
    </row>
    <row r="20" spans="2:41" ht="12.75">
      <c r="B20" s="127">
        <f t="shared" si="0"/>
        <v>18</v>
      </c>
      <c r="C20" s="138" t="s">
        <v>339</v>
      </c>
      <c r="D20" s="127" t="s">
        <v>340</v>
      </c>
      <c r="E20" s="127" t="s">
        <v>341</v>
      </c>
      <c r="F20" s="127">
        <v>4800</v>
      </c>
      <c r="G20" s="127">
        <v>4950</v>
      </c>
      <c r="H20" s="233">
        <f>AVERAGE(F20,G20)</f>
        <v>4875</v>
      </c>
      <c r="I20" s="225">
        <f>H20*4.2</f>
        <v>20475</v>
      </c>
      <c r="K20" s="225">
        <f t="shared" si="3"/>
        <v>19155</v>
      </c>
      <c r="L20" s="271">
        <v>29500</v>
      </c>
      <c r="M20" s="342">
        <v>0.5</v>
      </c>
      <c r="N20" s="127">
        <v>1</v>
      </c>
      <c r="P20" s="127" t="s">
        <v>358</v>
      </c>
      <c r="Q20" s="222" t="s">
        <v>271</v>
      </c>
      <c r="R20" s="127" t="s">
        <v>271</v>
      </c>
      <c r="V20" s="127">
        <v>600</v>
      </c>
      <c r="W20" s="127">
        <v>19.1</v>
      </c>
      <c r="Y20" s="225">
        <f t="shared" si="1"/>
        <v>19100</v>
      </c>
      <c r="AA20" s="127" t="s">
        <v>356</v>
      </c>
      <c r="AB20" s="225"/>
      <c r="AC20" s="225">
        <v>7990</v>
      </c>
      <c r="AD20" s="225">
        <f t="shared" si="5"/>
        <v>0</v>
      </c>
      <c r="AE20" s="225">
        <f t="shared" si="4"/>
        <v>18544.79</v>
      </c>
      <c r="AG20" s="228" t="s">
        <v>359</v>
      </c>
      <c r="AH20" s="229">
        <v>21210</v>
      </c>
      <c r="AI20" s="228">
        <v>1</v>
      </c>
      <c r="AL20" s="234"/>
      <c r="AM20" s="127">
        <v>31.1</v>
      </c>
      <c r="AN20" s="127" t="s">
        <v>328</v>
      </c>
      <c r="AO20" s="127" t="s">
        <v>329</v>
      </c>
    </row>
    <row r="21" spans="2:41" ht="12.75">
      <c r="B21" s="127">
        <f t="shared" si="0"/>
        <v>19</v>
      </c>
      <c r="C21" s="138" t="s">
        <v>348</v>
      </c>
      <c r="D21" s="127" t="s">
        <v>349</v>
      </c>
      <c r="E21" s="127" t="s">
        <v>350</v>
      </c>
      <c r="F21" s="127">
        <v>4400</v>
      </c>
      <c r="H21" s="233">
        <f>AVERAGE(F21,G21)</f>
        <v>4400</v>
      </c>
      <c r="I21" s="225">
        <f>H21*4.2</f>
        <v>18480</v>
      </c>
      <c r="J21" s="225"/>
      <c r="K21" s="225">
        <f t="shared" si="3"/>
        <v>17160</v>
      </c>
      <c r="L21" s="271">
        <v>29500</v>
      </c>
      <c r="M21" s="342">
        <v>0.5</v>
      </c>
      <c r="N21" s="127">
        <v>1</v>
      </c>
      <c r="P21" s="127" t="s">
        <v>363</v>
      </c>
      <c r="Q21" s="222" t="s">
        <v>271</v>
      </c>
      <c r="R21" s="127" t="s">
        <v>271</v>
      </c>
      <c r="S21" s="127" t="s">
        <v>343</v>
      </c>
      <c r="T21" s="127" t="s">
        <v>271</v>
      </c>
      <c r="U21" s="127" t="s">
        <v>262</v>
      </c>
      <c r="V21" s="127" t="s">
        <v>364</v>
      </c>
      <c r="W21" s="127">
        <v>18.5</v>
      </c>
      <c r="Y21" s="225">
        <f t="shared" si="1"/>
        <v>18500</v>
      </c>
      <c r="AA21" s="127" t="s">
        <v>365</v>
      </c>
      <c r="AB21" s="225"/>
      <c r="AC21" s="225">
        <v>8050</v>
      </c>
      <c r="AD21" s="225">
        <f t="shared" si="5"/>
        <v>0</v>
      </c>
      <c r="AE21" s="225">
        <f t="shared" si="4"/>
        <v>18684.050000000003</v>
      </c>
      <c r="AG21" s="228" t="s">
        <v>366</v>
      </c>
      <c r="AH21" s="229">
        <v>19320</v>
      </c>
      <c r="AI21" s="228">
        <v>1</v>
      </c>
      <c r="AL21" s="234"/>
      <c r="AM21" s="127">
        <v>31.5</v>
      </c>
      <c r="AN21" s="127" t="s">
        <v>328</v>
      </c>
      <c r="AO21" s="127" t="s">
        <v>329</v>
      </c>
    </row>
    <row r="22" spans="2:41" ht="12.75">
      <c r="B22" s="127">
        <f t="shared" si="0"/>
        <v>20</v>
      </c>
      <c r="C22" s="138" t="s">
        <v>354</v>
      </c>
      <c r="D22" s="127" t="s">
        <v>355</v>
      </c>
      <c r="E22" s="127" t="s">
        <v>356</v>
      </c>
      <c r="I22" s="225">
        <f>VLOOKUP(E22,'Calorific values'!AA$4:AE$26,5)</f>
        <v>18544.79</v>
      </c>
      <c r="J22" s="225" t="s">
        <v>357</v>
      </c>
      <c r="K22" s="225">
        <f t="shared" si="3"/>
        <v>17224.79</v>
      </c>
      <c r="L22" s="271">
        <v>29500</v>
      </c>
      <c r="M22" s="342">
        <v>0.5</v>
      </c>
      <c r="N22" s="127">
        <v>2</v>
      </c>
      <c r="P22" s="127" t="s">
        <v>370</v>
      </c>
      <c r="Q22" s="230" t="s">
        <v>371</v>
      </c>
      <c r="R22" s="127">
        <v>30</v>
      </c>
      <c r="S22" s="127" t="s">
        <v>343</v>
      </c>
      <c r="T22" s="127" t="s">
        <v>271</v>
      </c>
      <c r="U22" s="127" t="s">
        <v>317</v>
      </c>
      <c r="V22" s="127" t="s">
        <v>372</v>
      </c>
      <c r="W22" s="127">
        <v>20.4</v>
      </c>
      <c r="Y22" s="225">
        <f t="shared" si="1"/>
        <v>20400</v>
      </c>
      <c r="AA22" s="127" t="s">
        <v>373</v>
      </c>
      <c r="AB22" s="225"/>
      <c r="AC22" s="225">
        <v>8600</v>
      </c>
      <c r="AD22" s="225">
        <f t="shared" si="5"/>
        <v>0</v>
      </c>
      <c r="AE22" s="225">
        <f t="shared" si="4"/>
        <v>19960.600000000002</v>
      </c>
      <c r="AG22" s="127" t="s">
        <v>374</v>
      </c>
      <c r="AH22" s="225">
        <v>21840</v>
      </c>
      <c r="AI22" s="127">
        <v>1</v>
      </c>
      <c r="AL22" s="234" t="s">
        <v>375</v>
      </c>
      <c r="AM22" s="127">
        <v>16.1</v>
      </c>
      <c r="AN22" s="127" t="s">
        <v>376</v>
      </c>
      <c r="AO22" s="127" t="s">
        <v>255</v>
      </c>
    </row>
    <row r="23" spans="2:41" ht="12.75">
      <c r="B23" s="127">
        <f t="shared" si="0"/>
        <v>21</v>
      </c>
      <c r="C23" s="138" t="s">
        <v>360</v>
      </c>
      <c r="D23" s="127" t="s">
        <v>361</v>
      </c>
      <c r="E23" s="127" t="s">
        <v>362</v>
      </c>
      <c r="H23" s="233"/>
      <c r="I23" s="225">
        <v>18100</v>
      </c>
      <c r="J23" s="225"/>
      <c r="K23" s="225">
        <f t="shared" si="3"/>
        <v>16780</v>
      </c>
      <c r="L23" s="271">
        <v>29500</v>
      </c>
      <c r="M23" s="342">
        <v>0.5</v>
      </c>
      <c r="N23" s="127">
        <v>4</v>
      </c>
      <c r="P23" s="127" t="s">
        <v>380</v>
      </c>
      <c r="Q23" s="230" t="s">
        <v>381</v>
      </c>
      <c r="R23" s="127">
        <v>30</v>
      </c>
      <c r="S23" s="127" t="s">
        <v>343</v>
      </c>
      <c r="T23" s="127" t="s">
        <v>271</v>
      </c>
      <c r="U23" s="127" t="s">
        <v>262</v>
      </c>
      <c r="V23" s="127" t="s">
        <v>372</v>
      </c>
      <c r="W23" s="127">
        <v>18.7</v>
      </c>
      <c r="Y23" s="225">
        <f t="shared" si="1"/>
        <v>18700</v>
      </c>
      <c r="AA23" s="127" t="s">
        <v>382</v>
      </c>
      <c r="AB23" s="225"/>
      <c r="AC23" s="225">
        <v>7990</v>
      </c>
      <c r="AD23" s="225">
        <f t="shared" si="5"/>
        <v>0</v>
      </c>
      <c r="AE23" s="225">
        <f t="shared" si="4"/>
        <v>18544.79</v>
      </c>
      <c r="AG23" s="228" t="s">
        <v>383</v>
      </c>
      <c r="AH23" s="229">
        <v>20160</v>
      </c>
      <c r="AI23" s="228">
        <v>1</v>
      </c>
      <c r="AL23" s="234"/>
      <c r="AM23" s="127">
        <v>15.4</v>
      </c>
      <c r="AN23" s="127" t="s">
        <v>384</v>
      </c>
      <c r="AO23" s="127" t="s">
        <v>385</v>
      </c>
    </row>
    <row r="24" spans="2:41" ht="12.75">
      <c r="B24" s="127">
        <f t="shared" si="0"/>
        <v>22</v>
      </c>
      <c r="C24" s="138" t="s">
        <v>367</v>
      </c>
      <c r="D24" s="127" t="s">
        <v>368</v>
      </c>
      <c r="E24" s="127" t="s">
        <v>369</v>
      </c>
      <c r="F24" s="127">
        <v>5200</v>
      </c>
      <c r="H24" s="233">
        <f>AVERAGE(F24,G24)</f>
        <v>5200</v>
      </c>
      <c r="I24" s="225">
        <f>H24*4.2</f>
        <v>21840</v>
      </c>
      <c r="K24" s="225">
        <f t="shared" si="3"/>
        <v>20520</v>
      </c>
      <c r="L24" s="271">
        <v>29500</v>
      </c>
      <c r="M24" s="342">
        <v>0.5</v>
      </c>
      <c r="N24" s="127">
        <v>1</v>
      </c>
      <c r="P24" s="127" t="s">
        <v>389</v>
      </c>
      <c r="Q24" s="230" t="s">
        <v>371</v>
      </c>
      <c r="R24" s="127">
        <v>30</v>
      </c>
      <c r="S24" s="127" t="s">
        <v>343</v>
      </c>
      <c r="T24" s="127" t="s">
        <v>271</v>
      </c>
      <c r="U24" s="127" t="s">
        <v>262</v>
      </c>
      <c r="V24" s="127">
        <v>810</v>
      </c>
      <c r="W24" s="127">
        <v>19.4</v>
      </c>
      <c r="Y24" s="225">
        <f t="shared" si="1"/>
        <v>19400</v>
      </c>
      <c r="AA24" s="127" t="s">
        <v>390</v>
      </c>
      <c r="AB24" s="225">
        <v>9400</v>
      </c>
      <c r="AC24" s="225">
        <v>8410</v>
      </c>
      <c r="AD24" s="225">
        <f t="shared" si="5"/>
        <v>21817.4</v>
      </c>
      <c r="AE24" s="225">
        <f t="shared" si="4"/>
        <v>19519.61</v>
      </c>
      <c r="AG24" s="228" t="s">
        <v>391</v>
      </c>
      <c r="AH24" s="229">
        <v>20160</v>
      </c>
      <c r="AI24" s="228">
        <v>1</v>
      </c>
      <c r="AL24" s="234" t="s">
        <v>392</v>
      </c>
      <c r="AM24" s="127">
        <v>14</v>
      </c>
      <c r="AN24" s="127" t="s">
        <v>393</v>
      </c>
      <c r="AO24" s="127" t="s">
        <v>255</v>
      </c>
    </row>
    <row r="25" spans="2:41" ht="14.25">
      <c r="B25" s="127">
        <f t="shared" si="0"/>
        <v>23</v>
      </c>
      <c r="C25" s="138" t="s">
        <v>377</v>
      </c>
      <c r="D25" s="127" t="s">
        <v>378</v>
      </c>
      <c r="E25" s="127" t="s">
        <v>379</v>
      </c>
      <c r="I25" s="225">
        <v>19700</v>
      </c>
      <c r="K25" s="225">
        <f t="shared" si="3"/>
        <v>18380</v>
      </c>
      <c r="L25" s="271">
        <v>29500</v>
      </c>
      <c r="M25" s="342">
        <v>0.5</v>
      </c>
      <c r="N25" s="127">
        <v>4</v>
      </c>
      <c r="P25" s="127" t="s">
        <v>396</v>
      </c>
      <c r="Q25" s="222" t="s">
        <v>397</v>
      </c>
      <c r="R25" s="127">
        <v>1</v>
      </c>
      <c r="S25" s="127" t="s">
        <v>260</v>
      </c>
      <c r="T25" s="127" t="s">
        <v>261</v>
      </c>
      <c r="U25" s="127" t="s">
        <v>398</v>
      </c>
      <c r="V25" s="127" t="s">
        <v>399</v>
      </c>
      <c r="W25" s="127">
        <v>18.9</v>
      </c>
      <c r="X25" s="127">
        <v>19.9</v>
      </c>
      <c r="Y25" s="225">
        <f t="shared" si="1"/>
        <v>19400</v>
      </c>
      <c r="AA25" s="127" t="s">
        <v>400</v>
      </c>
      <c r="AB25" s="225">
        <v>8790</v>
      </c>
      <c r="AC25" s="225">
        <v>9700</v>
      </c>
      <c r="AD25" s="225">
        <f t="shared" si="5"/>
        <v>20401.59</v>
      </c>
      <c r="AE25" s="225">
        <f t="shared" si="4"/>
        <v>22513.7</v>
      </c>
      <c r="AG25" s="127" t="s">
        <v>401</v>
      </c>
      <c r="AH25" s="225">
        <v>20580</v>
      </c>
      <c r="AI25" s="127">
        <v>1</v>
      </c>
      <c r="AM25" s="127">
        <v>15.4</v>
      </c>
      <c r="AN25" s="127" t="s">
        <v>384</v>
      </c>
      <c r="AO25" s="127" t="s">
        <v>385</v>
      </c>
    </row>
    <row r="26" spans="2:41" ht="12.75">
      <c r="B26" s="127">
        <f t="shared" si="0"/>
        <v>24</v>
      </c>
      <c r="C26" s="138" t="s">
        <v>386</v>
      </c>
      <c r="D26" s="127" t="s">
        <v>387</v>
      </c>
      <c r="E26" s="127" t="s">
        <v>388</v>
      </c>
      <c r="I26" s="225">
        <v>17150</v>
      </c>
      <c r="K26" s="225">
        <f t="shared" si="3"/>
        <v>15830</v>
      </c>
      <c r="L26" s="271">
        <v>29500</v>
      </c>
      <c r="M26" s="342">
        <v>0.5</v>
      </c>
      <c r="N26" s="127">
        <v>4</v>
      </c>
      <c r="P26" s="127" t="s">
        <v>402</v>
      </c>
      <c r="Q26" s="222" t="s">
        <v>271</v>
      </c>
      <c r="R26" s="127" t="s">
        <v>271</v>
      </c>
      <c r="S26" s="127" t="s">
        <v>260</v>
      </c>
      <c r="T26" s="127" t="s">
        <v>344</v>
      </c>
      <c r="U26" s="127" t="s">
        <v>317</v>
      </c>
      <c r="V26" s="127">
        <v>520</v>
      </c>
      <c r="W26" s="127">
        <v>18.4</v>
      </c>
      <c r="Y26" s="225">
        <f t="shared" si="1"/>
        <v>18400</v>
      </c>
      <c r="AA26" s="127" t="s">
        <v>403</v>
      </c>
      <c r="AB26" s="225">
        <v>7070</v>
      </c>
      <c r="AC26" s="225">
        <v>8150</v>
      </c>
      <c r="AD26" s="225">
        <f t="shared" si="5"/>
        <v>16409.47</v>
      </c>
      <c r="AE26" s="225">
        <f t="shared" si="4"/>
        <v>18916.15</v>
      </c>
      <c r="AG26" s="127" t="s">
        <v>404</v>
      </c>
      <c r="AH26" s="225">
        <v>20160</v>
      </c>
      <c r="AI26" s="127">
        <v>1</v>
      </c>
      <c r="AL26" s="127" t="s">
        <v>405</v>
      </c>
      <c r="AM26" s="127">
        <v>13</v>
      </c>
      <c r="AN26" s="127" t="s">
        <v>406</v>
      </c>
      <c r="AO26" s="127" t="s">
        <v>274</v>
      </c>
    </row>
    <row r="27" spans="2:41" ht="12.75">
      <c r="B27" s="127">
        <f t="shared" si="0"/>
        <v>25</v>
      </c>
      <c r="C27" s="138" t="s">
        <v>394</v>
      </c>
      <c r="D27" s="127" t="s">
        <v>395</v>
      </c>
      <c r="E27" s="127" t="s">
        <v>352</v>
      </c>
      <c r="F27" s="127">
        <v>4600</v>
      </c>
      <c r="H27" s="233">
        <f>AVERAGE(F27,G27)</f>
        <v>4600</v>
      </c>
      <c r="I27" s="225">
        <f>H27*4.2</f>
        <v>19320</v>
      </c>
      <c r="J27" s="225"/>
      <c r="K27" s="225">
        <f t="shared" si="3"/>
        <v>18000</v>
      </c>
      <c r="L27" s="271">
        <v>29500</v>
      </c>
      <c r="M27" s="342">
        <v>0.5</v>
      </c>
      <c r="N27" s="127">
        <v>1</v>
      </c>
      <c r="P27" s="127" t="s">
        <v>410</v>
      </c>
      <c r="Q27" s="230" t="s">
        <v>411</v>
      </c>
      <c r="R27" s="231">
        <v>37751</v>
      </c>
      <c r="S27" s="127" t="s">
        <v>260</v>
      </c>
      <c r="T27" s="127" t="s">
        <v>344</v>
      </c>
      <c r="U27" s="127" t="s">
        <v>398</v>
      </c>
      <c r="V27" s="127" t="s">
        <v>263</v>
      </c>
      <c r="W27" s="127">
        <v>18.8</v>
      </c>
      <c r="Y27" s="225">
        <f t="shared" si="1"/>
        <v>18800</v>
      </c>
      <c r="AG27" s="228" t="s">
        <v>412</v>
      </c>
      <c r="AH27" s="229">
        <v>18480</v>
      </c>
      <c r="AI27" s="228">
        <v>1</v>
      </c>
      <c r="AM27" s="127">
        <v>14.2</v>
      </c>
      <c r="AN27" s="127" t="s">
        <v>384</v>
      </c>
      <c r="AO27" s="127" t="s">
        <v>385</v>
      </c>
    </row>
    <row r="28" spans="2:41" ht="12.75">
      <c r="B28" s="127">
        <f t="shared" si="0"/>
        <v>26</v>
      </c>
      <c r="C28" s="138" t="s">
        <v>394</v>
      </c>
      <c r="D28" s="127" t="s">
        <v>395</v>
      </c>
      <c r="E28" s="127" t="s">
        <v>352</v>
      </c>
      <c r="I28" s="225">
        <f>VLOOKUP(E28,'Calorific values'!AA$4:AE$26,5)</f>
        <v>18544.79</v>
      </c>
      <c r="J28" s="225"/>
      <c r="K28" s="225">
        <f t="shared" si="3"/>
        <v>17224.79</v>
      </c>
      <c r="L28" s="271">
        <v>29500</v>
      </c>
      <c r="M28" s="342">
        <v>0.5</v>
      </c>
      <c r="N28" s="127">
        <v>2</v>
      </c>
      <c r="P28" s="127" t="s">
        <v>416</v>
      </c>
      <c r="Q28" s="230" t="s">
        <v>417</v>
      </c>
      <c r="R28" s="231">
        <v>37812</v>
      </c>
      <c r="S28" s="127" t="s">
        <v>343</v>
      </c>
      <c r="T28" s="127" t="s">
        <v>261</v>
      </c>
      <c r="U28" s="127" t="s">
        <v>317</v>
      </c>
      <c r="V28" s="127" t="s">
        <v>418</v>
      </c>
      <c r="W28" s="127">
        <v>19</v>
      </c>
      <c r="X28" s="127">
        <v>21.1</v>
      </c>
      <c r="Y28" s="225">
        <f t="shared" si="1"/>
        <v>20050</v>
      </c>
      <c r="AG28" s="127" t="s">
        <v>419</v>
      </c>
      <c r="AH28" s="225">
        <v>21459.9</v>
      </c>
      <c r="AI28" s="127">
        <v>1</v>
      </c>
      <c r="AL28" s="127" t="s">
        <v>286</v>
      </c>
      <c r="AM28" s="127">
        <v>11.8</v>
      </c>
      <c r="AN28" s="127" t="s">
        <v>420</v>
      </c>
      <c r="AO28" s="127" t="s">
        <v>274</v>
      </c>
    </row>
    <row r="29" spans="2:41" ht="12.75">
      <c r="B29" s="127">
        <f t="shared" si="0"/>
        <v>27</v>
      </c>
      <c r="C29" s="138" t="s">
        <v>407</v>
      </c>
      <c r="D29" s="127" t="s">
        <v>408</v>
      </c>
      <c r="E29" s="127" t="s">
        <v>409</v>
      </c>
      <c r="I29" s="225">
        <v>19200</v>
      </c>
      <c r="K29" s="225">
        <f t="shared" si="3"/>
        <v>17880</v>
      </c>
      <c r="L29" s="271">
        <v>29500</v>
      </c>
      <c r="M29" s="342">
        <v>0.5</v>
      </c>
      <c r="N29" s="127">
        <v>4</v>
      </c>
      <c r="P29" s="127" t="s">
        <v>424</v>
      </c>
      <c r="Q29" s="222" t="s">
        <v>271</v>
      </c>
      <c r="R29" s="127" t="s">
        <v>271</v>
      </c>
      <c r="S29" s="127" t="s">
        <v>343</v>
      </c>
      <c r="U29" s="127" t="s">
        <v>262</v>
      </c>
      <c r="V29" s="127">
        <v>810</v>
      </c>
      <c r="W29" s="127">
        <v>19.6</v>
      </c>
      <c r="Y29" s="225">
        <f t="shared" si="1"/>
        <v>19600</v>
      </c>
      <c r="AG29" s="127" t="s">
        <v>425</v>
      </c>
      <c r="AH29" s="225">
        <v>22680</v>
      </c>
      <c r="AI29" s="127">
        <v>1</v>
      </c>
      <c r="AM29" s="127">
        <v>15.4</v>
      </c>
      <c r="AN29" s="127" t="s">
        <v>384</v>
      </c>
      <c r="AO29" s="127" t="s">
        <v>385</v>
      </c>
    </row>
    <row r="30" spans="2:38" ht="12.75">
      <c r="B30" s="127">
        <f t="shared" si="0"/>
        <v>28</v>
      </c>
      <c r="C30" s="138" t="s">
        <v>413</v>
      </c>
      <c r="D30" s="127" t="s">
        <v>414</v>
      </c>
      <c r="E30" s="127" t="s">
        <v>415</v>
      </c>
      <c r="F30" s="127">
        <v>4900</v>
      </c>
      <c r="H30" s="233">
        <f>AVERAGE(F30,G30)</f>
        <v>4900</v>
      </c>
      <c r="I30" s="225">
        <f>H30*4.2</f>
        <v>20580</v>
      </c>
      <c r="J30" s="225"/>
      <c r="K30" s="225">
        <f t="shared" si="3"/>
        <v>19260</v>
      </c>
      <c r="L30" s="271">
        <v>29500</v>
      </c>
      <c r="M30" s="342">
        <v>0.5</v>
      </c>
      <c r="N30" s="127">
        <v>1</v>
      </c>
      <c r="P30" s="127" t="s">
        <v>427</v>
      </c>
      <c r="S30" s="127" t="s">
        <v>343</v>
      </c>
      <c r="T30" s="127" t="s">
        <v>344</v>
      </c>
      <c r="U30" s="127" t="s">
        <v>317</v>
      </c>
      <c r="W30" s="127">
        <v>19</v>
      </c>
      <c r="Y30" s="225">
        <f t="shared" si="1"/>
        <v>19000</v>
      </c>
      <c r="AG30" s="127" t="s">
        <v>428</v>
      </c>
      <c r="AH30" s="225">
        <v>21056.7</v>
      </c>
      <c r="AI30" s="127">
        <v>1</v>
      </c>
      <c r="AL30" s="127" t="s">
        <v>282</v>
      </c>
    </row>
    <row r="31" spans="2:41" ht="12.75">
      <c r="B31" s="127">
        <f t="shared" si="0"/>
        <v>29</v>
      </c>
      <c r="C31" s="138" t="s">
        <v>421</v>
      </c>
      <c r="D31" s="127" t="s">
        <v>422</v>
      </c>
      <c r="E31" s="127" t="s">
        <v>423</v>
      </c>
      <c r="I31" s="225">
        <v>19350</v>
      </c>
      <c r="K31" s="225">
        <f t="shared" si="3"/>
        <v>18030</v>
      </c>
      <c r="L31" s="271">
        <v>29500</v>
      </c>
      <c r="M31" s="342">
        <v>0.5</v>
      </c>
      <c r="N31" s="127">
        <v>4</v>
      </c>
      <c r="P31" s="127" t="s">
        <v>432</v>
      </c>
      <c r="Q31" s="222" t="s">
        <v>271</v>
      </c>
      <c r="R31" s="127" t="s">
        <v>271</v>
      </c>
      <c r="S31" s="127" t="s">
        <v>343</v>
      </c>
      <c r="U31" s="127" t="s">
        <v>433</v>
      </c>
      <c r="V31" s="127">
        <v>660</v>
      </c>
      <c r="W31" s="127">
        <v>18.4</v>
      </c>
      <c r="Y31" s="225">
        <f t="shared" si="1"/>
        <v>18400</v>
      </c>
      <c r="AG31" s="127" t="s">
        <v>434</v>
      </c>
      <c r="AH31" s="225">
        <v>21000</v>
      </c>
      <c r="AI31" s="127">
        <v>1</v>
      </c>
      <c r="AL31" s="235" t="s">
        <v>435</v>
      </c>
      <c r="AM31" s="127">
        <v>22.5</v>
      </c>
      <c r="AO31" s="127" t="s">
        <v>267</v>
      </c>
    </row>
    <row r="32" spans="2:41" ht="12.75">
      <c r="B32" s="127">
        <f t="shared" si="0"/>
        <v>30</v>
      </c>
      <c r="C32" s="138" t="s">
        <v>426</v>
      </c>
      <c r="D32" s="127" t="s">
        <v>426</v>
      </c>
      <c r="I32" s="225">
        <v>19100</v>
      </c>
      <c r="K32" s="225">
        <f t="shared" si="3"/>
        <v>17780</v>
      </c>
      <c r="L32" s="271">
        <v>29500</v>
      </c>
      <c r="M32" s="342">
        <v>0.5</v>
      </c>
      <c r="N32" s="127">
        <v>4</v>
      </c>
      <c r="P32" s="127" t="s">
        <v>439</v>
      </c>
      <c r="Q32" s="222">
        <v>15</v>
      </c>
      <c r="R32" s="127">
        <v>20</v>
      </c>
      <c r="S32" s="127" t="s">
        <v>260</v>
      </c>
      <c r="T32" s="127" t="s">
        <v>261</v>
      </c>
      <c r="U32" s="127" t="s">
        <v>433</v>
      </c>
      <c r="V32" s="127" t="s">
        <v>271</v>
      </c>
      <c r="W32" s="127">
        <v>19.8</v>
      </c>
      <c r="Y32" s="225">
        <f t="shared" si="1"/>
        <v>19800</v>
      </c>
      <c r="AG32" s="127" t="s">
        <v>440</v>
      </c>
      <c r="AH32" s="225">
        <v>20126.4</v>
      </c>
      <c r="AI32" s="127">
        <v>1</v>
      </c>
      <c r="AL32" s="235" t="s">
        <v>435</v>
      </c>
      <c r="AM32" s="127">
        <v>27.3</v>
      </c>
      <c r="AN32" s="127" t="s">
        <v>441</v>
      </c>
      <c r="AO32" s="127" t="s">
        <v>255</v>
      </c>
    </row>
    <row r="33" spans="2:41" ht="12.75">
      <c r="B33" s="127">
        <f t="shared" si="0"/>
        <v>31</v>
      </c>
      <c r="C33" s="138" t="s">
        <v>429</v>
      </c>
      <c r="D33" s="127" t="s">
        <v>430</v>
      </c>
      <c r="E33" s="127" t="s">
        <v>431</v>
      </c>
      <c r="I33" s="225">
        <v>18500</v>
      </c>
      <c r="K33" s="225">
        <f t="shared" si="3"/>
        <v>17180</v>
      </c>
      <c r="L33" s="271">
        <v>29500</v>
      </c>
      <c r="M33" s="342">
        <v>0.5</v>
      </c>
      <c r="N33" s="127">
        <v>4</v>
      </c>
      <c r="P33" s="127" t="s">
        <v>445</v>
      </c>
      <c r="Q33" s="222" t="s">
        <v>271</v>
      </c>
      <c r="R33" s="127" t="s">
        <v>271</v>
      </c>
      <c r="S33" s="127" t="s">
        <v>260</v>
      </c>
      <c r="T33" s="127" t="s">
        <v>261</v>
      </c>
      <c r="U33" s="127" t="s">
        <v>433</v>
      </c>
      <c r="V33" s="127">
        <v>680</v>
      </c>
      <c r="W33" s="127">
        <v>19</v>
      </c>
      <c r="X33" s="127">
        <v>21</v>
      </c>
      <c r="Y33" s="225">
        <f t="shared" si="1"/>
        <v>20000</v>
      </c>
      <c r="AG33" s="228" t="s">
        <v>446</v>
      </c>
      <c r="AH33" s="229">
        <v>17430</v>
      </c>
      <c r="AI33" s="228">
        <v>1</v>
      </c>
      <c r="AL33" s="235" t="s">
        <v>447</v>
      </c>
      <c r="AM33" s="127">
        <v>30.1</v>
      </c>
      <c r="AN33" s="127" t="s">
        <v>448</v>
      </c>
      <c r="AO33" s="127" t="s">
        <v>255</v>
      </c>
    </row>
    <row r="34" spans="2:41" ht="12.75">
      <c r="B34" s="127">
        <f t="shared" si="0"/>
        <v>32</v>
      </c>
      <c r="C34" s="138" t="s">
        <v>436</v>
      </c>
      <c r="D34" s="127" t="s">
        <v>437</v>
      </c>
      <c r="E34" s="127" t="s">
        <v>438</v>
      </c>
      <c r="F34" s="127">
        <v>4600</v>
      </c>
      <c r="H34" s="233">
        <f>AVERAGE(F34,G34)</f>
        <v>4600</v>
      </c>
      <c r="I34" s="225">
        <f>H34*4.2</f>
        <v>19320</v>
      </c>
      <c r="K34" s="225">
        <f t="shared" si="3"/>
        <v>18000</v>
      </c>
      <c r="L34" s="271">
        <v>29500</v>
      </c>
      <c r="M34" s="342">
        <v>0.5</v>
      </c>
      <c r="N34" s="127">
        <v>1</v>
      </c>
      <c r="P34" s="127" t="s">
        <v>452</v>
      </c>
      <c r="Q34" s="230" t="s">
        <v>411</v>
      </c>
      <c r="R34" s="231">
        <v>37716</v>
      </c>
      <c r="S34" s="127" t="s">
        <v>260</v>
      </c>
      <c r="T34" s="127" t="s">
        <v>344</v>
      </c>
      <c r="U34" s="127" t="s">
        <v>317</v>
      </c>
      <c r="V34" s="127" t="s">
        <v>271</v>
      </c>
      <c r="W34" s="127">
        <v>19.3</v>
      </c>
      <c r="Y34" s="225">
        <f t="shared" si="1"/>
        <v>19300</v>
      </c>
      <c r="AG34" s="127" t="s">
        <v>453</v>
      </c>
      <c r="AH34" s="225">
        <v>17663.1</v>
      </c>
      <c r="AI34" s="127">
        <v>1</v>
      </c>
      <c r="AL34" s="235" t="s">
        <v>454</v>
      </c>
      <c r="AM34" s="127">
        <v>26.2</v>
      </c>
      <c r="AO34" s="127" t="s">
        <v>267</v>
      </c>
    </row>
    <row r="35" spans="2:41" ht="12.75">
      <c r="B35" s="127">
        <f t="shared" si="0"/>
        <v>33</v>
      </c>
      <c r="C35" s="138" t="s">
        <v>442</v>
      </c>
      <c r="D35" s="127" t="s">
        <v>443</v>
      </c>
      <c r="E35" s="127" t="s">
        <v>444</v>
      </c>
      <c r="I35" s="225">
        <v>20400</v>
      </c>
      <c r="K35" s="225">
        <f t="shared" si="3"/>
        <v>19080</v>
      </c>
      <c r="L35" s="271">
        <v>29500</v>
      </c>
      <c r="M35" s="342">
        <v>0.5</v>
      </c>
      <c r="N35" s="127">
        <v>4</v>
      </c>
      <c r="P35" s="127" t="s">
        <v>458</v>
      </c>
      <c r="Q35" s="222" t="s">
        <v>271</v>
      </c>
      <c r="R35" s="127" t="s">
        <v>271</v>
      </c>
      <c r="S35" s="127" t="s">
        <v>343</v>
      </c>
      <c r="T35" s="127" t="s">
        <v>344</v>
      </c>
      <c r="U35" s="127" t="s">
        <v>433</v>
      </c>
      <c r="V35" s="127">
        <v>750</v>
      </c>
      <c r="W35" s="127">
        <v>18.6</v>
      </c>
      <c r="Y35" s="225">
        <f t="shared" si="1"/>
        <v>18600</v>
      </c>
      <c r="AG35" s="228" t="s">
        <v>459</v>
      </c>
      <c r="AH35" s="229">
        <v>20160</v>
      </c>
      <c r="AI35" s="228">
        <v>1</v>
      </c>
      <c r="AL35" s="235" t="s">
        <v>460</v>
      </c>
      <c r="AM35" s="127">
        <v>18.4</v>
      </c>
      <c r="AO35" s="127" t="s">
        <v>267</v>
      </c>
    </row>
    <row r="36" spans="2:41" ht="12.75">
      <c r="B36" s="127">
        <f t="shared" si="0"/>
        <v>34</v>
      </c>
      <c r="C36" s="138" t="s">
        <v>449</v>
      </c>
      <c r="D36" s="127" t="s">
        <v>450</v>
      </c>
      <c r="E36" s="127" t="s">
        <v>451</v>
      </c>
      <c r="I36" s="225">
        <v>18700</v>
      </c>
      <c r="K36" s="225">
        <f t="shared" si="3"/>
        <v>17380</v>
      </c>
      <c r="L36" s="271">
        <v>29500</v>
      </c>
      <c r="M36" s="342">
        <v>0.5</v>
      </c>
      <c r="N36" s="127">
        <v>4</v>
      </c>
      <c r="P36" s="127" t="s">
        <v>464</v>
      </c>
      <c r="Q36" s="222" t="s">
        <v>271</v>
      </c>
      <c r="R36" s="127" t="s">
        <v>271</v>
      </c>
      <c r="S36" s="127" t="s">
        <v>343</v>
      </c>
      <c r="T36" s="127" t="s">
        <v>344</v>
      </c>
      <c r="U36" s="127" t="s">
        <v>433</v>
      </c>
      <c r="V36" s="127">
        <v>580</v>
      </c>
      <c r="W36" s="127">
        <v>18.1</v>
      </c>
      <c r="Y36" s="225">
        <f t="shared" si="1"/>
        <v>18100</v>
      </c>
      <c r="AG36" s="127" t="s">
        <v>465</v>
      </c>
      <c r="AH36" s="225">
        <v>18900</v>
      </c>
      <c r="AI36" s="127">
        <v>1</v>
      </c>
      <c r="AL36" s="235" t="s">
        <v>466</v>
      </c>
      <c r="AM36" s="127">
        <v>23.5</v>
      </c>
      <c r="AO36" s="127" t="s">
        <v>267</v>
      </c>
    </row>
    <row r="37" spans="2:35" ht="12.75">
      <c r="B37" s="127">
        <f t="shared" si="0"/>
        <v>35</v>
      </c>
      <c r="C37" s="138" t="s">
        <v>455</v>
      </c>
      <c r="D37" s="127" t="s">
        <v>456</v>
      </c>
      <c r="E37" s="127" t="s">
        <v>457</v>
      </c>
      <c r="I37" s="225">
        <v>19400</v>
      </c>
      <c r="K37" s="225">
        <f t="shared" si="3"/>
        <v>18080</v>
      </c>
      <c r="L37" s="271">
        <v>29500</v>
      </c>
      <c r="M37" s="342">
        <v>0.5</v>
      </c>
      <c r="N37" s="127">
        <v>4</v>
      </c>
      <c r="P37" s="127" t="s">
        <v>469</v>
      </c>
      <c r="Q37" s="222" t="s">
        <v>470</v>
      </c>
      <c r="R37" s="127" t="s">
        <v>471</v>
      </c>
      <c r="S37" s="127" t="s">
        <v>260</v>
      </c>
      <c r="T37" s="127" t="s">
        <v>261</v>
      </c>
      <c r="U37" s="127" t="s">
        <v>317</v>
      </c>
      <c r="V37" s="127">
        <v>430</v>
      </c>
      <c r="W37" s="127">
        <v>19</v>
      </c>
      <c r="X37" s="127">
        <v>21</v>
      </c>
      <c r="Y37" s="225">
        <f t="shared" si="1"/>
        <v>20000</v>
      </c>
      <c r="AG37" s="127" t="s">
        <v>472</v>
      </c>
      <c r="AH37" s="225">
        <v>20580</v>
      </c>
      <c r="AI37" s="127">
        <v>1</v>
      </c>
    </row>
    <row r="38" spans="2:35" ht="12.75">
      <c r="B38" s="127">
        <f t="shared" si="0"/>
        <v>36</v>
      </c>
      <c r="C38" s="138" t="s">
        <v>461</v>
      </c>
      <c r="D38" s="127" t="s">
        <v>462</v>
      </c>
      <c r="E38" s="127" t="s">
        <v>463</v>
      </c>
      <c r="F38" s="127">
        <v>4500</v>
      </c>
      <c r="G38" s="127">
        <v>4750</v>
      </c>
      <c r="H38" s="233">
        <f>AVERAGE(F38,G38)</f>
        <v>4625</v>
      </c>
      <c r="I38" s="225">
        <f>H38*4.2</f>
        <v>19425</v>
      </c>
      <c r="J38" s="225"/>
      <c r="K38" s="225">
        <f t="shared" si="3"/>
        <v>18105</v>
      </c>
      <c r="L38" s="271">
        <v>29500</v>
      </c>
      <c r="M38" s="342">
        <v>0.5</v>
      </c>
      <c r="N38" s="127">
        <v>1</v>
      </c>
      <c r="P38" s="127" t="s">
        <v>476</v>
      </c>
      <c r="Q38" s="222" t="s">
        <v>271</v>
      </c>
      <c r="R38" s="127" t="s">
        <v>271</v>
      </c>
      <c r="S38" s="127" t="s">
        <v>260</v>
      </c>
      <c r="T38" s="127" t="s">
        <v>261</v>
      </c>
      <c r="U38" s="127" t="s">
        <v>310</v>
      </c>
      <c r="V38" s="127">
        <v>430</v>
      </c>
      <c r="W38" s="127">
        <v>18.7</v>
      </c>
      <c r="Y38" s="225">
        <f t="shared" si="1"/>
        <v>18700</v>
      </c>
      <c r="AG38" s="127" t="s">
        <v>477</v>
      </c>
      <c r="AH38" s="225">
        <v>18916.15</v>
      </c>
      <c r="AI38" s="127">
        <v>2</v>
      </c>
    </row>
    <row r="39" spans="2:35" ht="12.75">
      <c r="B39" s="127">
        <f t="shared" si="0"/>
        <v>37</v>
      </c>
      <c r="C39" s="138" t="s">
        <v>467</v>
      </c>
      <c r="D39" s="127" t="s">
        <v>468</v>
      </c>
      <c r="E39" s="127" t="s">
        <v>346</v>
      </c>
      <c r="I39" s="225">
        <f>VLOOKUP(E39,'Calorific values'!AA$4:AE$26,5)</f>
        <v>18684.050000000003</v>
      </c>
      <c r="J39" s="225"/>
      <c r="K39" s="225">
        <f t="shared" si="3"/>
        <v>17364.050000000003</v>
      </c>
      <c r="L39" s="271">
        <v>29500</v>
      </c>
      <c r="M39" s="342">
        <v>0.5</v>
      </c>
      <c r="N39" s="127">
        <v>2</v>
      </c>
      <c r="P39" s="127" t="s">
        <v>481</v>
      </c>
      <c r="Q39" s="230" t="s">
        <v>482</v>
      </c>
      <c r="R39" s="231">
        <v>37756</v>
      </c>
      <c r="S39" s="127" t="s">
        <v>260</v>
      </c>
      <c r="T39" s="127" t="s">
        <v>261</v>
      </c>
      <c r="U39" s="127" t="s">
        <v>317</v>
      </c>
      <c r="V39" s="127" t="s">
        <v>483</v>
      </c>
      <c r="W39" s="127">
        <v>20.1</v>
      </c>
      <c r="X39" s="127">
        <v>21</v>
      </c>
      <c r="Y39" s="225">
        <f t="shared" si="1"/>
        <v>20550</v>
      </c>
      <c r="AG39" s="127" t="s">
        <v>484</v>
      </c>
      <c r="AH39" s="225">
        <v>18544.79</v>
      </c>
      <c r="AI39" s="127">
        <v>2</v>
      </c>
    </row>
    <row r="40" spans="2:35" ht="12.75">
      <c r="B40" s="127">
        <f t="shared" si="0"/>
        <v>38</v>
      </c>
      <c r="C40" s="138" t="s">
        <v>473</v>
      </c>
      <c r="D40" s="127" t="s">
        <v>474</v>
      </c>
      <c r="E40" s="127" t="s">
        <v>475</v>
      </c>
      <c r="I40" s="225">
        <v>18400</v>
      </c>
      <c r="K40" s="225">
        <f t="shared" si="3"/>
        <v>17080</v>
      </c>
      <c r="L40" s="271">
        <v>29500</v>
      </c>
      <c r="M40" s="342">
        <v>0.5</v>
      </c>
      <c r="N40" s="127">
        <v>4</v>
      </c>
      <c r="P40" s="127" t="s">
        <v>488</v>
      </c>
      <c r="Q40" s="222" t="s">
        <v>489</v>
      </c>
      <c r="R40" s="231">
        <v>37782</v>
      </c>
      <c r="S40" s="127" t="s">
        <v>260</v>
      </c>
      <c r="T40" s="127" t="s">
        <v>261</v>
      </c>
      <c r="U40" s="127" t="s">
        <v>317</v>
      </c>
      <c r="V40" s="127" t="s">
        <v>490</v>
      </c>
      <c r="W40" s="127">
        <v>19</v>
      </c>
      <c r="X40" s="127">
        <v>20.5</v>
      </c>
      <c r="Y40" s="225">
        <f t="shared" si="1"/>
        <v>19750</v>
      </c>
      <c r="AG40" s="127" t="s">
        <v>320</v>
      </c>
      <c r="AH40" s="225">
        <v>18544.79</v>
      </c>
      <c r="AI40" s="127">
        <v>2</v>
      </c>
    </row>
    <row r="41" spans="2:35" ht="12.75">
      <c r="B41" s="127">
        <f t="shared" si="0"/>
        <v>39</v>
      </c>
      <c r="C41" s="138" t="s">
        <v>478</v>
      </c>
      <c r="D41" s="127" t="s">
        <v>479</v>
      </c>
      <c r="E41" s="127" t="s">
        <v>480</v>
      </c>
      <c r="I41" s="225">
        <v>18800</v>
      </c>
      <c r="K41" s="225">
        <f t="shared" si="3"/>
        <v>17480</v>
      </c>
      <c r="L41" s="271">
        <v>29500</v>
      </c>
      <c r="M41" s="342">
        <v>0.5</v>
      </c>
      <c r="N41" s="127">
        <v>4</v>
      </c>
      <c r="P41" s="127" t="s">
        <v>494</v>
      </c>
      <c r="Q41" s="230" t="s">
        <v>495</v>
      </c>
      <c r="R41" s="127">
        <v>8</v>
      </c>
      <c r="S41" s="127" t="s">
        <v>260</v>
      </c>
      <c r="T41" s="127" t="s">
        <v>261</v>
      </c>
      <c r="U41" s="127" t="s">
        <v>496</v>
      </c>
      <c r="V41" s="127">
        <v>740</v>
      </c>
      <c r="W41" s="127">
        <v>19</v>
      </c>
      <c r="X41" s="127">
        <v>20.6</v>
      </c>
      <c r="Y41" s="225">
        <f t="shared" si="1"/>
        <v>19800</v>
      </c>
      <c r="AG41" s="127" t="s">
        <v>497</v>
      </c>
      <c r="AH41" s="225">
        <v>18684.05</v>
      </c>
      <c r="AI41" s="127">
        <v>2</v>
      </c>
    </row>
    <row r="42" spans="2:35" ht="12.75">
      <c r="B42" s="127">
        <f t="shared" si="0"/>
        <v>40</v>
      </c>
      <c r="C42" s="138" t="s">
        <v>485</v>
      </c>
      <c r="D42" s="127" t="s">
        <v>486</v>
      </c>
      <c r="E42" s="127" t="s">
        <v>487</v>
      </c>
      <c r="F42" s="127">
        <v>4950</v>
      </c>
      <c r="H42" s="233">
        <f>AVERAGE(F42,G42)</f>
        <v>4950</v>
      </c>
      <c r="I42" s="225">
        <f>H42*4.2</f>
        <v>20790</v>
      </c>
      <c r="J42" s="225"/>
      <c r="K42" s="225">
        <f t="shared" si="3"/>
        <v>19470</v>
      </c>
      <c r="L42" s="271">
        <v>29500</v>
      </c>
      <c r="M42" s="342">
        <v>0.5</v>
      </c>
      <c r="N42" s="127">
        <v>1</v>
      </c>
      <c r="P42" s="127" t="s">
        <v>501</v>
      </c>
      <c r="Q42" s="222">
        <v>15</v>
      </c>
      <c r="R42" s="127">
        <v>5</v>
      </c>
      <c r="S42" s="127" t="s">
        <v>343</v>
      </c>
      <c r="V42" s="127" t="s">
        <v>271</v>
      </c>
      <c r="W42" s="127">
        <v>18.4</v>
      </c>
      <c r="Y42" s="225">
        <f t="shared" si="1"/>
        <v>18400</v>
      </c>
      <c r="AG42" s="127" t="s">
        <v>502</v>
      </c>
      <c r="AH42" s="225">
        <v>18916.15</v>
      </c>
      <c r="AI42" s="127">
        <v>2</v>
      </c>
    </row>
    <row r="43" spans="2:35" ht="12.75">
      <c r="B43" s="127">
        <f t="shared" si="0"/>
        <v>41</v>
      </c>
      <c r="C43" s="138" t="s">
        <v>491</v>
      </c>
      <c r="D43" s="127" t="s">
        <v>492</v>
      </c>
      <c r="E43" s="127" t="s">
        <v>493</v>
      </c>
      <c r="I43" s="225">
        <v>19600</v>
      </c>
      <c r="K43" s="225">
        <f t="shared" si="3"/>
        <v>18280</v>
      </c>
      <c r="L43" s="271">
        <v>29500</v>
      </c>
      <c r="M43" s="342">
        <v>0.5</v>
      </c>
      <c r="N43" s="127">
        <v>4</v>
      </c>
      <c r="P43" s="127" t="s">
        <v>506</v>
      </c>
      <c r="Q43" s="222">
        <v>10</v>
      </c>
      <c r="R43" s="127">
        <v>15</v>
      </c>
      <c r="S43" s="127" t="s">
        <v>343</v>
      </c>
      <c r="T43" s="127" t="s">
        <v>344</v>
      </c>
      <c r="U43" s="127" t="s">
        <v>433</v>
      </c>
      <c r="V43" s="127">
        <v>590</v>
      </c>
      <c r="W43" s="127">
        <v>19.3</v>
      </c>
      <c r="Y43" s="225">
        <f t="shared" si="1"/>
        <v>19300</v>
      </c>
      <c r="AG43" s="127" t="s">
        <v>507</v>
      </c>
      <c r="AH43" s="225">
        <v>19960.6</v>
      </c>
      <c r="AI43" s="127">
        <v>2</v>
      </c>
    </row>
    <row r="44" spans="2:35" ht="14.25">
      <c r="B44" s="127">
        <f t="shared" si="0"/>
        <v>42</v>
      </c>
      <c r="C44" s="138" t="s">
        <v>498</v>
      </c>
      <c r="D44" s="127" t="s">
        <v>499</v>
      </c>
      <c r="E44" s="127" t="s">
        <v>500</v>
      </c>
      <c r="I44" s="225">
        <v>19000</v>
      </c>
      <c r="K44" s="225">
        <f t="shared" si="3"/>
        <v>17680</v>
      </c>
      <c r="L44" s="271">
        <v>29500</v>
      </c>
      <c r="M44" s="342">
        <v>0.5</v>
      </c>
      <c r="N44" s="127">
        <v>4</v>
      </c>
      <c r="P44" s="127" t="s">
        <v>511</v>
      </c>
      <c r="Q44" s="222" t="s">
        <v>512</v>
      </c>
      <c r="R44" s="127" t="s">
        <v>513</v>
      </c>
      <c r="S44" s="127" t="s">
        <v>260</v>
      </c>
      <c r="T44" s="127" t="s">
        <v>261</v>
      </c>
      <c r="U44" s="127" t="s">
        <v>398</v>
      </c>
      <c r="V44" s="127" t="s">
        <v>514</v>
      </c>
      <c r="W44" s="127">
        <v>17.5</v>
      </c>
      <c r="X44" s="127">
        <v>19.5</v>
      </c>
      <c r="Y44" s="225">
        <f t="shared" si="1"/>
        <v>18500</v>
      </c>
      <c r="AG44" s="127" t="s">
        <v>515</v>
      </c>
      <c r="AH44" s="225">
        <v>18684.05</v>
      </c>
      <c r="AI44" s="127">
        <v>2</v>
      </c>
    </row>
    <row r="45" spans="2:35" ht="12.75">
      <c r="B45" s="127">
        <f t="shared" si="0"/>
        <v>43</v>
      </c>
      <c r="C45" s="138" t="s">
        <v>503</v>
      </c>
      <c r="D45" s="127" t="s">
        <v>504</v>
      </c>
      <c r="E45" s="127" t="s">
        <v>505</v>
      </c>
      <c r="I45" s="225">
        <v>18400</v>
      </c>
      <c r="K45" s="225">
        <f t="shared" si="3"/>
        <v>17080</v>
      </c>
      <c r="L45" s="271">
        <v>29500</v>
      </c>
      <c r="M45" s="342">
        <v>0.5</v>
      </c>
      <c r="N45" s="127">
        <v>4</v>
      </c>
      <c r="P45" s="127" t="s">
        <v>519</v>
      </c>
      <c r="Q45" s="222">
        <v>8</v>
      </c>
      <c r="R45" s="127" t="s">
        <v>271</v>
      </c>
      <c r="S45" s="127" t="s">
        <v>343</v>
      </c>
      <c r="T45" s="127" t="s">
        <v>344</v>
      </c>
      <c r="U45" s="127" t="s">
        <v>262</v>
      </c>
      <c r="V45" s="127">
        <v>800</v>
      </c>
      <c r="W45" s="127">
        <v>19</v>
      </c>
      <c r="X45" s="127">
        <v>20.5</v>
      </c>
      <c r="Y45" s="225">
        <f t="shared" si="1"/>
        <v>19750</v>
      </c>
      <c r="AG45" s="127" t="s">
        <v>520</v>
      </c>
      <c r="AH45" s="225">
        <v>18544.79</v>
      </c>
      <c r="AI45" s="127">
        <v>2</v>
      </c>
    </row>
    <row r="46" spans="2:35" ht="12.75">
      <c r="B46" s="127">
        <f t="shared" si="0"/>
        <v>44</v>
      </c>
      <c r="C46" s="138" t="s">
        <v>508</v>
      </c>
      <c r="D46" s="127" t="s">
        <v>509</v>
      </c>
      <c r="E46" s="127" t="s">
        <v>510</v>
      </c>
      <c r="I46" s="225">
        <v>19800</v>
      </c>
      <c r="K46" s="225">
        <f t="shared" si="3"/>
        <v>18480</v>
      </c>
      <c r="L46" s="271">
        <v>29500</v>
      </c>
      <c r="M46" s="342">
        <v>0.5</v>
      </c>
      <c r="N46" s="127">
        <v>4</v>
      </c>
      <c r="P46" s="127" t="s">
        <v>524</v>
      </c>
      <c r="Q46" s="230" t="s">
        <v>371</v>
      </c>
      <c r="R46" s="127">
        <v>30</v>
      </c>
      <c r="S46" s="127" t="s">
        <v>343</v>
      </c>
      <c r="T46" s="127" t="s">
        <v>261</v>
      </c>
      <c r="U46" s="127" t="s">
        <v>317</v>
      </c>
      <c r="V46" s="127" t="s">
        <v>372</v>
      </c>
      <c r="W46" s="127">
        <v>20.1</v>
      </c>
      <c r="Y46" s="225">
        <f t="shared" si="1"/>
        <v>20100</v>
      </c>
      <c r="AG46" s="127" t="s">
        <v>525</v>
      </c>
      <c r="AH46" s="225">
        <v>20424.8</v>
      </c>
      <c r="AI46" s="127">
        <v>2</v>
      </c>
    </row>
    <row r="47" spans="2:35" ht="12.75">
      <c r="B47" s="127">
        <f t="shared" si="0"/>
        <v>45</v>
      </c>
      <c r="C47" s="138" t="s">
        <v>516</v>
      </c>
      <c r="D47" s="127" t="s">
        <v>517</v>
      </c>
      <c r="E47" s="127" t="s">
        <v>518</v>
      </c>
      <c r="F47" s="127">
        <v>4900</v>
      </c>
      <c r="G47" s="127">
        <v>5200</v>
      </c>
      <c r="H47" s="233">
        <f>AVERAGE(F47,G47)</f>
        <v>5050</v>
      </c>
      <c r="I47" s="225">
        <f>H47*4.2</f>
        <v>21210</v>
      </c>
      <c r="J47" s="225"/>
      <c r="K47" s="225">
        <f t="shared" si="3"/>
        <v>19890</v>
      </c>
      <c r="L47" s="271">
        <v>29500</v>
      </c>
      <c r="M47" s="342">
        <v>0.5</v>
      </c>
      <c r="N47" s="127">
        <v>1</v>
      </c>
      <c r="P47" s="127" t="s">
        <v>529</v>
      </c>
      <c r="Q47" s="230" t="s">
        <v>371</v>
      </c>
      <c r="R47" s="127">
        <v>30</v>
      </c>
      <c r="S47" s="127" t="s">
        <v>343</v>
      </c>
      <c r="T47" s="127" t="s">
        <v>261</v>
      </c>
      <c r="U47" s="127" t="s">
        <v>317</v>
      </c>
      <c r="V47" s="127" t="s">
        <v>372</v>
      </c>
      <c r="W47" s="127">
        <v>21.3</v>
      </c>
      <c r="Y47" s="225">
        <f t="shared" si="1"/>
        <v>21300</v>
      </c>
      <c r="AG47" s="127" t="s">
        <v>530</v>
      </c>
      <c r="AH47" s="225">
        <v>20633.69</v>
      </c>
      <c r="AI47" s="127">
        <v>2</v>
      </c>
    </row>
    <row r="48" spans="2:35" ht="12.75">
      <c r="B48" s="127">
        <f t="shared" si="0"/>
        <v>46</v>
      </c>
      <c r="C48" s="138" t="s">
        <v>521</v>
      </c>
      <c r="D48" s="127" t="s">
        <v>522</v>
      </c>
      <c r="E48" s="127" t="s">
        <v>523</v>
      </c>
      <c r="F48" s="127">
        <v>4600</v>
      </c>
      <c r="H48" s="233">
        <f>AVERAGE(F48,G48)</f>
        <v>4600</v>
      </c>
      <c r="I48" s="225">
        <f>H48*4.2</f>
        <v>19320</v>
      </c>
      <c r="J48" s="225"/>
      <c r="K48" s="225">
        <f t="shared" si="3"/>
        <v>18000</v>
      </c>
      <c r="L48" s="271">
        <v>29500</v>
      </c>
      <c r="M48" s="342">
        <v>0.5</v>
      </c>
      <c r="N48" s="127">
        <v>1</v>
      </c>
      <c r="P48" s="127" t="s">
        <v>534</v>
      </c>
      <c r="Q48" s="230" t="s">
        <v>535</v>
      </c>
      <c r="R48" s="127">
        <v>8</v>
      </c>
      <c r="S48" s="127" t="s">
        <v>343</v>
      </c>
      <c r="V48" s="127" t="s">
        <v>271</v>
      </c>
      <c r="W48" s="127">
        <v>20</v>
      </c>
      <c r="Y48" s="225">
        <f t="shared" si="1"/>
        <v>20000</v>
      </c>
      <c r="AG48" s="127" t="s">
        <v>536</v>
      </c>
      <c r="AH48" s="225">
        <v>18916.15</v>
      </c>
      <c r="AI48" s="127">
        <v>2</v>
      </c>
    </row>
    <row r="49" spans="2:35" ht="12.75">
      <c r="B49" s="127">
        <f t="shared" si="0"/>
        <v>47</v>
      </c>
      <c r="C49" s="138" t="s">
        <v>526</v>
      </c>
      <c r="D49" s="127" t="s">
        <v>527</v>
      </c>
      <c r="E49" s="127" t="s">
        <v>528</v>
      </c>
      <c r="I49" s="225">
        <v>18600</v>
      </c>
      <c r="K49" s="225">
        <f t="shared" si="3"/>
        <v>17280</v>
      </c>
      <c r="L49" s="271">
        <v>29500</v>
      </c>
      <c r="M49" s="342">
        <v>0.5</v>
      </c>
      <c r="N49" s="127">
        <v>4</v>
      </c>
      <c r="P49" s="127" t="s">
        <v>541</v>
      </c>
      <c r="Q49" s="222">
        <v>10</v>
      </c>
      <c r="R49" s="127">
        <v>25</v>
      </c>
      <c r="S49" s="127" t="s">
        <v>343</v>
      </c>
      <c r="V49" s="127" t="s">
        <v>271</v>
      </c>
      <c r="W49" s="127">
        <v>18.7</v>
      </c>
      <c r="Y49" s="225">
        <f t="shared" si="1"/>
        <v>18700</v>
      </c>
      <c r="AG49" s="127" t="s">
        <v>542</v>
      </c>
      <c r="AH49" s="225">
        <v>18684.05</v>
      </c>
      <c r="AI49" s="127">
        <v>2</v>
      </c>
    </row>
    <row r="50" spans="2:35" ht="14.25">
      <c r="B50" s="127">
        <f t="shared" si="0"/>
        <v>48</v>
      </c>
      <c r="C50" s="138" t="s">
        <v>531</v>
      </c>
      <c r="D50" s="127" t="s">
        <v>532</v>
      </c>
      <c r="E50" s="127" t="s">
        <v>533</v>
      </c>
      <c r="I50" s="225">
        <v>18100</v>
      </c>
      <c r="K50" s="225">
        <f t="shared" si="3"/>
        <v>16780</v>
      </c>
      <c r="L50" s="271">
        <v>29500</v>
      </c>
      <c r="M50" s="342">
        <v>0.5</v>
      </c>
      <c r="N50" s="127">
        <v>4</v>
      </c>
      <c r="P50" s="127" t="s">
        <v>546</v>
      </c>
      <c r="Q50" s="222" t="s">
        <v>547</v>
      </c>
      <c r="R50" s="127" t="s">
        <v>548</v>
      </c>
      <c r="S50" s="127" t="s">
        <v>260</v>
      </c>
      <c r="T50" s="127" t="s">
        <v>261</v>
      </c>
      <c r="U50" s="127" t="s">
        <v>262</v>
      </c>
      <c r="V50" s="127">
        <v>420</v>
      </c>
      <c r="W50" s="127">
        <v>19.3</v>
      </c>
      <c r="Y50" s="225">
        <f t="shared" si="1"/>
        <v>19300</v>
      </c>
      <c r="AG50" s="127" t="s">
        <v>549</v>
      </c>
      <c r="AH50" s="225">
        <v>22513.7</v>
      </c>
      <c r="AI50" s="127">
        <v>2</v>
      </c>
    </row>
    <row r="51" spans="2:35" ht="12.75">
      <c r="B51" s="127">
        <f t="shared" si="0"/>
        <v>49</v>
      </c>
      <c r="C51" s="138" t="s">
        <v>537</v>
      </c>
      <c r="D51" s="127" t="s">
        <v>538</v>
      </c>
      <c r="E51" s="127" t="s">
        <v>539</v>
      </c>
      <c r="F51" s="127">
        <v>5200</v>
      </c>
      <c r="H51" s="233">
        <f>AVERAGE(F51,G51)</f>
        <v>5200</v>
      </c>
      <c r="I51" s="225">
        <f>H51*4.2</f>
        <v>21840</v>
      </c>
      <c r="J51" s="225" t="s">
        <v>540</v>
      </c>
      <c r="K51" s="225">
        <f t="shared" si="3"/>
        <v>20520</v>
      </c>
      <c r="L51" s="271">
        <v>29500</v>
      </c>
      <c r="M51" s="342">
        <v>0.5</v>
      </c>
      <c r="N51" s="127">
        <v>1</v>
      </c>
      <c r="P51" s="127" t="s">
        <v>553</v>
      </c>
      <c r="Q51" s="222">
        <v>17</v>
      </c>
      <c r="R51" s="127">
        <v>25</v>
      </c>
      <c r="S51" s="127" t="s">
        <v>260</v>
      </c>
      <c r="T51" s="127" t="s">
        <v>344</v>
      </c>
      <c r="U51" s="127" t="s">
        <v>433</v>
      </c>
      <c r="V51" s="127" t="s">
        <v>271</v>
      </c>
      <c r="W51" s="127">
        <v>20.7</v>
      </c>
      <c r="Y51" s="225">
        <f t="shared" si="1"/>
        <v>20700</v>
      </c>
      <c r="AG51" s="127" t="s">
        <v>554</v>
      </c>
      <c r="AH51" s="225">
        <v>19519.61</v>
      </c>
      <c r="AI51" s="127">
        <v>2</v>
      </c>
    </row>
    <row r="52" spans="2:35" ht="12.75">
      <c r="B52" s="127">
        <f t="shared" si="0"/>
        <v>50</v>
      </c>
      <c r="C52" s="138" t="s">
        <v>543</v>
      </c>
      <c r="D52" s="127" t="s">
        <v>544</v>
      </c>
      <c r="E52" s="127" t="s">
        <v>545</v>
      </c>
      <c r="F52" s="127">
        <v>4800</v>
      </c>
      <c r="H52" s="233">
        <f>AVERAGE(F52,G52)</f>
        <v>4800</v>
      </c>
      <c r="I52" s="225">
        <f>H52*4.2</f>
        <v>20160</v>
      </c>
      <c r="K52" s="225">
        <f t="shared" si="3"/>
        <v>18840</v>
      </c>
      <c r="L52" s="271">
        <v>29500</v>
      </c>
      <c r="M52" s="342">
        <v>0.5</v>
      </c>
      <c r="N52" s="127">
        <v>1</v>
      </c>
      <c r="P52" s="127" t="s">
        <v>558</v>
      </c>
      <c r="Q52" s="222" t="s">
        <v>271</v>
      </c>
      <c r="R52" s="127" t="s">
        <v>271</v>
      </c>
      <c r="S52" s="127" t="s">
        <v>260</v>
      </c>
      <c r="T52" s="127" t="s">
        <v>344</v>
      </c>
      <c r="U52" s="127" t="s">
        <v>262</v>
      </c>
      <c r="V52" s="127">
        <v>770</v>
      </c>
      <c r="W52" s="127">
        <v>20.1</v>
      </c>
      <c r="X52" s="127">
        <v>20.5</v>
      </c>
      <c r="Y52" s="225">
        <f t="shared" si="1"/>
        <v>20300</v>
      </c>
      <c r="AG52" s="127" t="s">
        <v>559</v>
      </c>
      <c r="AH52" s="225">
        <v>19519.61</v>
      </c>
      <c r="AI52" s="127">
        <v>2</v>
      </c>
    </row>
    <row r="53" spans="2:35" ht="12.75">
      <c r="B53" s="127">
        <f t="shared" si="0"/>
        <v>51</v>
      </c>
      <c r="C53" s="138" t="s">
        <v>550</v>
      </c>
      <c r="D53" s="127" t="s">
        <v>551</v>
      </c>
      <c r="E53" s="127" t="s">
        <v>552</v>
      </c>
      <c r="I53" s="225">
        <v>18700</v>
      </c>
      <c r="K53" s="225">
        <f t="shared" si="3"/>
        <v>17380</v>
      </c>
      <c r="L53" s="271">
        <v>29500</v>
      </c>
      <c r="M53" s="342">
        <v>0.5</v>
      </c>
      <c r="N53" s="127">
        <v>4</v>
      </c>
      <c r="P53" s="127" t="s">
        <v>563</v>
      </c>
      <c r="Q53" s="222" t="s">
        <v>271</v>
      </c>
      <c r="R53" s="127" t="s">
        <v>271</v>
      </c>
      <c r="S53" s="127" t="s">
        <v>343</v>
      </c>
      <c r="T53" s="127" t="s">
        <v>344</v>
      </c>
      <c r="V53" s="127">
        <v>560</v>
      </c>
      <c r="W53" s="127">
        <v>16.3</v>
      </c>
      <c r="Y53" s="225">
        <f t="shared" si="1"/>
        <v>16300</v>
      </c>
      <c r="AG53" s="127" t="s">
        <v>564</v>
      </c>
      <c r="AH53" s="225">
        <v>18962.57</v>
      </c>
      <c r="AI53" s="127">
        <v>2</v>
      </c>
    </row>
    <row r="54" spans="2:35" ht="12.75">
      <c r="B54" s="127">
        <f t="shared" si="0"/>
        <v>52</v>
      </c>
      <c r="C54" s="138" t="s">
        <v>555</v>
      </c>
      <c r="D54" s="127" t="s">
        <v>556</v>
      </c>
      <c r="E54" s="127" t="s">
        <v>557</v>
      </c>
      <c r="F54" s="127">
        <v>4800</v>
      </c>
      <c r="H54" s="233">
        <f>AVERAGE(F54,G54)</f>
        <v>4800</v>
      </c>
      <c r="I54" s="225">
        <f>H54*4.2</f>
        <v>20160</v>
      </c>
      <c r="J54" s="225"/>
      <c r="K54" s="225">
        <f t="shared" si="3"/>
        <v>18840</v>
      </c>
      <c r="L54" s="271">
        <v>29500</v>
      </c>
      <c r="M54" s="342">
        <v>0.5</v>
      </c>
      <c r="N54" s="127">
        <v>1</v>
      </c>
      <c r="P54" s="127" t="s">
        <v>567</v>
      </c>
      <c r="S54" s="127" t="s">
        <v>343</v>
      </c>
      <c r="T54" s="127" t="s">
        <v>344</v>
      </c>
      <c r="V54" s="127">
        <v>580</v>
      </c>
      <c r="W54" s="127">
        <v>15.4</v>
      </c>
      <c r="Y54" s="225">
        <f t="shared" si="1"/>
        <v>15400</v>
      </c>
      <c r="AG54" s="228" t="s">
        <v>258</v>
      </c>
      <c r="AH54" s="229">
        <v>19000</v>
      </c>
      <c r="AI54" s="228">
        <v>4</v>
      </c>
    </row>
    <row r="55" spans="2:35" ht="12.75">
      <c r="B55" s="127">
        <f t="shared" si="0"/>
        <v>53</v>
      </c>
      <c r="C55" s="138" t="s">
        <v>560</v>
      </c>
      <c r="D55" s="127" t="s">
        <v>561</v>
      </c>
      <c r="E55" s="127" t="s">
        <v>562</v>
      </c>
      <c r="I55" s="225">
        <v>19750</v>
      </c>
      <c r="K55" s="225">
        <f t="shared" si="3"/>
        <v>18430</v>
      </c>
      <c r="L55" s="271">
        <v>29500</v>
      </c>
      <c r="M55" s="342">
        <v>0.5</v>
      </c>
      <c r="N55" s="127">
        <v>4</v>
      </c>
      <c r="P55" s="127" t="s">
        <v>571</v>
      </c>
      <c r="R55" s="127" t="s">
        <v>271</v>
      </c>
      <c r="S55" s="127" t="s">
        <v>343</v>
      </c>
      <c r="T55" s="127" t="s">
        <v>344</v>
      </c>
      <c r="V55" s="127">
        <v>690</v>
      </c>
      <c r="W55" s="127">
        <v>18.3</v>
      </c>
      <c r="Y55" s="225">
        <f t="shared" si="1"/>
        <v>18300</v>
      </c>
      <c r="AG55" s="228" t="s">
        <v>270</v>
      </c>
      <c r="AH55" s="229">
        <v>18700</v>
      </c>
      <c r="AI55" s="228">
        <v>4</v>
      </c>
    </row>
    <row r="56" spans="2:35" ht="12.75">
      <c r="B56" s="127">
        <f t="shared" si="0"/>
        <v>54</v>
      </c>
      <c r="C56" s="138" t="s">
        <v>565</v>
      </c>
      <c r="D56" s="127" t="s">
        <v>566</v>
      </c>
      <c r="E56" s="127" t="s">
        <v>277</v>
      </c>
      <c r="I56" s="225">
        <f>VLOOKUP(E56,'Calorific values'!AA$4:AE$26,5)</f>
        <v>18916.15</v>
      </c>
      <c r="J56" s="225"/>
      <c r="K56" s="225">
        <f t="shared" si="3"/>
        <v>17596.15</v>
      </c>
      <c r="L56" s="271">
        <v>29500</v>
      </c>
      <c r="M56" s="342">
        <v>0.5</v>
      </c>
      <c r="N56" s="127">
        <v>2</v>
      </c>
      <c r="Q56" s="230"/>
      <c r="R56" s="231"/>
      <c r="AG56" s="127" t="s">
        <v>276</v>
      </c>
      <c r="AH56" s="225">
        <v>19200</v>
      </c>
      <c r="AI56" s="127">
        <v>4</v>
      </c>
    </row>
    <row r="57" spans="2:35" ht="12.75">
      <c r="B57" s="127">
        <f t="shared" si="0"/>
        <v>55</v>
      </c>
      <c r="C57" s="138" t="s">
        <v>568</v>
      </c>
      <c r="D57" s="127" t="s">
        <v>569</v>
      </c>
      <c r="E57" s="127" t="s">
        <v>570</v>
      </c>
      <c r="I57" s="225">
        <v>18400</v>
      </c>
      <c r="K57" s="225">
        <f t="shared" si="3"/>
        <v>17080</v>
      </c>
      <c r="L57" s="271">
        <v>29500</v>
      </c>
      <c r="M57" s="342">
        <v>0.5</v>
      </c>
      <c r="N57" s="127">
        <v>4</v>
      </c>
      <c r="P57" s="127" t="s">
        <v>576</v>
      </c>
      <c r="AG57" s="127" t="s">
        <v>294</v>
      </c>
      <c r="AH57" s="225">
        <v>21800</v>
      </c>
      <c r="AI57" s="127">
        <v>4</v>
      </c>
    </row>
    <row r="58" spans="2:35" ht="12.75">
      <c r="B58" s="127">
        <f t="shared" si="0"/>
        <v>56</v>
      </c>
      <c r="C58" s="138" t="s">
        <v>494</v>
      </c>
      <c r="D58" s="127" t="s">
        <v>494</v>
      </c>
      <c r="E58" s="127" t="s">
        <v>572</v>
      </c>
      <c r="F58" s="127">
        <v>4900</v>
      </c>
      <c r="H58" s="233">
        <f>AVERAGE(F58,G58)</f>
        <v>4900</v>
      </c>
      <c r="I58" s="225">
        <f>H58*4.2</f>
        <v>20580</v>
      </c>
      <c r="J58" s="225"/>
      <c r="K58" s="225">
        <f t="shared" si="3"/>
        <v>19260</v>
      </c>
      <c r="L58" s="271">
        <v>29500</v>
      </c>
      <c r="M58" s="342">
        <v>0.5</v>
      </c>
      <c r="N58" s="127">
        <v>1</v>
      </c>
      <c r="P58" s="127" t="s">
        <v>580</v>
      </c>
      <c r="AG58" s="228" t="s">
        <v>300</v>
      </c>
      <c r="AH58" s="229">
        <v>18000</v>
      </c>
      <c r="AI58" s="228">
        <v>4</v>
      </c>
    </row>
    <row r="59" spans="2:35" ht="12.75">
      <c r="B59" s="127">
        <f t="shared" si="0"/>
        <v>57</v>
      </c>
      <c r="C59" s="138" t="s">
        <v>573</v>
      </c>
      <c r="D59" s="236" t="s">
        <v>574</v>
      </c>
      <c r="E59" s="236" t="s">
        <v>575</v>
      </c>
      <c r="F59" s="236">
        <v>4800</v>
      </c>
      <c r="G59" s="236"/>
      <c r="H59" s="237">
        <f>AVERAGE(F59,G59)</f>
        <v>4800</v>
      </c>
      <c r="I59" s="238">
        <f>H59*4.2</f>
        <v>20160</v>
      </c>
      <c r="J59" s="225"/>
      <c r="K59" s="225">
        <f t="shared" si="3"/>
        <v>18840</v>
      </c>
      <c r="L59" s="271">
        <v>29500</v>
      </c>
      <c r="M59" s="342">
        <v>0.5</v>
      </c>
      <c r="N59" s="127">
        <v>1</v>
      </c>
      <c r="P59" s="127" t="s">
        <v>584</v>
      </c>
      <c r="AG59" s="228" t="s">
        <v>308</v>
      </c>
      <c r="AH59" s="229">
        <v>18100</v>
      </c>
      <c r="AI59" s="228">
        <v>4</v>
      </c>
    </row>
    <row r="60" spans="2:35" ht="12.75">
      <c r="B60" s="127">
        <f t="shared" si="0"/>
        <v>58</v>
      </c>
      <c r="C60" s="138" t="s">
        <v>577</v>
      </c>
      <c r="D60" s="127" t="s">
        <v>578</v>
      </c>
      <c r="E60" s="127" t="s">
        <v>579</v>
      </c>
      <c r="I60" s="225">
        <v>19300</v>
      </c>
      <c r="K60" s="225">
        <f t="shared" si="3"/>
        <v>17980</v>
      </c>
      <c r="L60" s="271">
        <v>29500</v>
      </c>
      <c r="M60" s="342">
        <v>0.5</v>
      </c>
      <c r="N60" s="127">
        <v>4</v>
      </c>
      <c r="P60" s="127" t="s">
        <v>588</v>
      </c>
      <c r="AG60" s="127" t="s">
        <v>316</v>
      </c>
      <c r="AH60" s="225">
        <v>21800</v>
      </c>
      <c r="AI60" s="127">
        <v>4</v>
      </c>
    </row>
    <row r="61" spans="2:35" ht="12.75">
      <c r="B61" s="127">
        <f t="shared" si="0"/>
        <v>59</v>
      </c>
      <c r="C61" s="138" t="s">
        <v>581</v>
      </c>
      <c r="D61" s="127" t="s">
        <v>582</v>
      </c>
      <c r="E61" s="127" t="s">
        <v>583</v>
      </c>
      <c r="F61" s="127">
        <v>4200</v>
      </c>
      <c r="G61" s="127">
        <v>4600</v>
      </c>
      <c r="H61" s="233">
        <f>AVERAGE(F61,G61)</f>
        <v>4400</v>
      </c>
      <c r="I61" s="225">
        <f>H61*4.2</f>
        <v>18480</v>
      </c>
      <c r="K61" s="225">
        <f t="shared" si="3"/>
        <v>17160</v>
      </c>
      <c r="L61" s="271">
        <v>29500</v>
      </c>
      <c r="M61" s="342">
        <v>0.5</v>
      </c>
      <c r="N61" s="127">
        <v>1</v>
      </c>
      <c r="P61" s="127" t="s">
        <v>591</v>
      </c>
      <c r="AG61" s="127" t="s">
        <v>325</v>
      </c>
      <c r="AH61" s="225">
        <v>19700</v>
      </c>
      <c r="AI61" s="127">
        <v>4</v>
      </c>
    </row>
    <row r="62" spans="2:35" ht="12.75">
      <c r="B62" s="127">
        <f t="shared" si="0"/>
        <v>60</v>
      </c>
      <c r="C62" s="138" t="s">
        <v>585</v>
      </c>
      <c r="D62" s="127" t="s">
        <v>586</v>
      </c>
      <c r="E62" s="127" t="s">
        <v>587</v>
      </c>
      <c r="F62" s="127">
        <v>5043</v>
      </c>
      <c r="G62" s="127">
        <v>5176</v>
      </c>
      <c r="H62" s="233">
        <f>AVERAGE(F62,G62)</f>
        <v>5109.5</v>
      </c>
      <c r="I62" s="225">
        <f>H62*4.2</f>
        <v>21459.9</v>
      </c>
      <c r="K62" s="225">
        <f t="shared" si="3"/>
        <v>20139.9</v>
      </c>
      <c r="L62" s="271">
        <v>29500</v>
      </c>
      <c r="M62" s="342">
        <v>0.5</v>
      </c>
      <c r="N62" s="127">
        <v>1</v>
      </c>
      <c r="P62" s="127" t="s">
        <v>594</v>
      </c>
      <c r="AG62" s="127" t="s">
        <v>333</v>
      </c>
      <c r="AH62" s="225">
        <v>17150</v>
      </c>
      <c r="AI62" s="127">
        <v>4</v>
      </c>
    </row>
    <row r="63" spans="2:35" ht="12.75">
      <c r="B63" s="127">
        <f t="shared" si="0"/>
        <v>61</v>
      </c>
      <c r="C63" s="138" t="s">
        <v>589</v>
      </c>
      <c r="D63" s="127" t="s">
        <v>590</v>
      </c>
      <c r="E63" s="127" t="s">
        <v>373</v>
      </c>
      <c r="I63" s="225">
        <f>VLOOKUP(E63,'Calorific values'!AA$4:AE$26,5)</f>
        <v>19960.600000000002</v>
      </c>
      <c r="J63" s="225"/>
      <c r="K63" s="225">
        <f t="shared" si="3"/>
        <v>18640.600000000002</v>
      </c>
      <c r="L63" s="271">
        <v>29500</v>
      </c>
      <c r="M63" s="342">
        <v>0.5</v>
      </c>
      <c r="N63" s="127">
        <v>2</v>
      </c>
      <c r="P63" s="127" t="s">
        <v>598</v>
      </c>
      <c r="AG63" s="127" t="s">
        <v>342</v>
      </c>
      <c r="AH63" s="225">
        <v>19200</v>
      </c>
      <c r="AI63" s="127">
        <v>4</v>
      </c>
    </row>
    <row r="64" spans="2:35" ht="12.75">
      <c r="B64" s="127">
        <f t="shared" si="0"/>
        <v>62</v>
      </c>
      <c r="C64" s="138" t="s">
        <v>592</v>
      </c>
      <c r="D64" s="127" t="s">
        <v>593</v>
      </c>
      <c r="E64" s="127" t="s">
        <v>337</v>
      </c>
      <c r="I64" s="225">
        <f>VLOOKUP(E64,'Calorific values'!AA$4:AE$26,5)</f>
        <v>18684.050000000003</v>
      </c>
      <c r="K64" s="225">
        <f t="shared" si="3"/>
        <v>17364.050000000003</v>
      </c>
      <c r="L64" s="271">
        <v>29500</v>
      </c>
      <c r="M64" s="342">
        <v>0.5</v>
      </c>
      <c r="N64" s="127">
        <v>2</v>
      </c>
      <c r="P64" s="127" t="s">
        <v>601</v>
      </c>
      <c r="AG64" s="127" t="s">
        <v>351</v>
      </c>
      <c r="AH64" s="225">
        <v>19350</v>
      </c>
      <c r="AI64" s="127">
        <v>4</v>
      </c>
    </row>
    <row r="65" spans="2:35" ht="12.75">
      <c r="B65" s="127">
        <f t="shared" si="0"/>
        <v>63</v>
      </c>
      <c r="C65" s="138" t="s">
        <v>595</v>
      </c>
      <c r="D65" s="127" t="s">
        <v>596</v>
      </c>
      <c r="E65" s="127" t="s">
        <v>597</v>
      </c>
      <c r="F65" s="127">
        <v>5200</v>
      </c>
      <c r="G65" s="127">
        <v>5600</v>
      </c>
      <c r="H65" s="233">
        <f>AVERAGE(F65,G65)</f>
        <v>5400</v>
      </c>
      <c r="I65" s="225">
        <f>H65*4.2</f>
        <v>22680</v>
      </c>
      <c r="J65" s="225"/>
      <c r="K65" s="225">
        <f t="shared" si="3"/>
        <v>21360</v>
      </c>
      <c r="L65" s="271">
        <v>29500</v>
      </c>
      <c r="M65" s="342">
        <v>0.5</v>
      </c>
      <c r="N65" s="127">
        <v>1</v>
      </c>
      <c r="P65" s="127" t="s">
        <v>605</v>
      </c>
      <c r="AG65" s="127" t="s">
        <v>358</v>
      </c>
      <c r="AH65" s="225">
        <v>19100</v>
      </c>
      <c r="AI65" s="127">
        <v>4</v>
      </c>
    </row>
    <row r="66" spans="2:35" ht="12.75">
      <c r="B66" s="127">
        <f t="shared" si="0"/>
        <v>64</v>
      </c>
      <c r="C66" s="138" t="s">
        <v>599</v>
      </c>
      <c r="D66" s="127" t="s">
        <v>600</v>
      </c>
      <c r="E66" s="127" t="s">
        <v>382</v>
      </c>
      <c r="I66" s="225">
        <f>VLOOKUP(E66,'Calorific values'!AA$4:AE$26,5)</f>
        <v>18544.79</v>
      </c>
      <c r="K66" s="225">
        <f t="shared" si="3"/>
        <v>17224.79</v>
      </c>
      <c r="L66" s="271">
        <v>29500</v>
      </c>
      <c r="M66" s="342">
        <v>0.5</v>
      </c>
      <c r="N66" s="127">
        <v>2</v>
      </c>
      <c r="P66" s="127" t="s">
        <v>608</v>
      </c>
      <c r="AG66" s="127" t="s">
        <v>363</v>
      </c>
      <c r="AH66" s="225">
        <v>18500</v>
      </c>
      <c r="AI66" s="127">
        <v>4</v>
      </c>
    </row>
    <row r="67" spans="2:35" ht="12.75">
      <c r="B67" s="127">
        <f t="shared" si="0"/>
        <v>65</v>
      </c>
      <c r="C67" s="138" t="s">
        <v>602</v>
      </c>
      <c r="D67" s="127" t="s">
        <v>603</v>
      </c>
      <c r="E67" s="127" t="s">
        <v>604</v>
      </c>
      <c r="F67" s="127">
        <v>5008</v>
      </c>
      <c r="G67" s="127">
        <v>5019</v>
      </c>
      <c r="H67" s="233">
        <f>AVERAGE(F67,G67)</f>
        <v>5013.5</v>
      </c>
      <c r="I67" s="225">
        <f>H67*4.2</f>
        <v>21056.7</v>
      </c>
      <c r="J67" s="225"/>
      <c r="K67" s="225">
        <f t="shared" si="3"/>
        <v>19736.7</v>
      </c>
      <c r="L67" s="271">
        <v>29500</v>
      </c>
      <c r="M67" s="342">
        <v>0.5</v>
      </c>
      <c r="N67" s="127">
        <v>1</v>
      </c>
      <c r="P67" s="127" t="s">
        <v>612</v>
      </c>
      <c r="AG67" s="127" t="s">
        <v>370</v>
      </c>
      <c r="AH67" s="225">
        <v>20400</v>
      </c>
      <c r="AI67" s="127">
        <v>4</v>
      </c>
    </row>
    <row r="68" spans="2:35" ht="12.75">
      <c r="B68" s="127">
        <f t="shared" si="0"/>
        <v>66</v>
      </c>
      <c r="C68" s="138" t="s">
        <v>606</v>
      </c>
      <c r="D68" s="127" t="s">
        <v>607</v>
      </c>
      <c r="E68" s="127" t="s">
        <v>295</v>
      </c>
      <c r="I68" s="225">
        <f>VLOOKUP(E68,'Calorific values'!AA$4:AE$26,5)</f>
        <v>20424.800000000003</v>
      </c>
      <c r="K68" s="225">
        <f t="shared" si="3"/>
        <v>19104.800000000003</v>
      </c>
      <c r="L68" s="271">
        <v>29500</v>
      </c>
      <c r="M68" s="342">
        <v>0.5</v>
      </c>
      <c r="N68" s="127">
        <v>2</v>
      </c>
      <c r="P68" s="127" t="s">
        <v>616</v>
      </c>
      <c r="AG68" s="127" t="s">
        <v>380</v>
      </c>
      <c r="AH68" s="225">
        <v>18700</v>
      </c>
      <c r="AI68" s="127">
        <v>4</v>
      </c>
    </row>
    <row r="69" spans="2:35" ht="12.75">
      <c r="B69" s="127">
        <f aca="true" t="shared" si="6" ref="B69:B90">B68+1</f>
        <v>67</v>
      </c>
      <c r="C69" s="138" t="s">
        <v>609</v>
      </c>
      <c r="D69" s="127" t="s">
        <v>610</v>
      </c>
      <c r="E69" s="127" t="s">
        <v>611</v>
      </c>
      <c r="F69" s="127">
        <v>5000</v>
      </c>
      <c r="H69" s="233">
        <f>AVERAGE(F69,G69)</f>
        <v>5000</v>
      </c>
      <c r="I69" s="225">
        <f>H69*4.2</f>
        <v>21000</v>
      </c>
      <c r="J69" s="225" t="s">
        <v>357</v>
      </c>
      <c r="K69" s="225">
        <f t="shared" si="3"/>
        <v>19680</v>
      </c>
      <c r="L69" s="271">
        <v>29500</v>
      </c>
      <c r="M69" s="342">
        <v>0.5</v>
      </c>
      <c r="N69" s="127">
        <v>1</v>
      </c>
      <c r="P69" s="127" t="s">
        <v>619</v>
      </c>
      <c r="AG69" s="127" t="s">
        <v>389</v>
      </c>
      <c r="AH69" s="225">
        <v>19400</v>
      </c>
      <c r="AI69" s="127">
        <v>4</v>
      </c>
    </row>
    <row r="70" spans="2:35" ht="12.75">
      <c r="B70" s="127">
        <f t="shared" si="6"/>
        <v>68</v>
      </c>
      <c r="C70" s="138" t="s">
        <v>613</v>
      </c>
      <c r="D70" s="127" t="s">
        <v>614</v>
      </c>
      <c r="E70" s="127" t="s">
        <v>615</v>
      </c>
      <c r="I70" s="225">
        <v>19750</v>
      </c>
      <c r="K70" s="225">
        <f t="shared" si="3"/>
        <v>18430</v>
      </c>
      <c r="L70" s="271">
        <v>29500</v>
      </c>
      <c r="M70" s="342">
        <v>0.5</v>
      </c>
      <c r="N70" s="127">
        <v>4</v>
      </c>
      <c r="P70" s="127" t="s">
        <v>623</v>
      </c>
      <c r="AG70" s="228" t="s">
        <v>396</v>
      </c>
      <c r="AH70" s="229">
        <v>19400</v>
      </c>
      <c r="AI70" s="228">
        <v>4</v>
      </c>
    </row>
    <row r="71" spans="2:35" ht="12.75">
      <c r="B71" s="127">
        <f t="shared" si="6"/>
        <v>69</v>
      </c>
      <c r="C71" s="138" t="s">
        <v>617</v>
      </c>
      <c r="D71" s="127" t="s">
        <v>618</v>
      </c>
      <c r="E71" s="127" t="s">
        <v>311</v>
      </c>
      <c r="I71" s="225">
        <f>VLOOKUP(E71,'Calorific values'!AA$4:AE$26,5)</f>
        <v>20633.69</v>
      </c>
      <c r="K71" s="225">
        <f t="shared" si="3"/>
        <v>19313.69</v>
      </c>
      <c r="L71" s="271">
        <v>29500</v>
      </c>
      <c r="M71" s="342">
        <v>0.5</v>
      </c>
      <c r="N71" s="127">
        <v>2</v>
      </c>
      <c r="P71" s="127" t="s">
        <v>626</v>
      </c>
      <c r="AG71" s="127" t="s">
        <v>402</v>
      </c>
      <c r="AH71" s="225">
        <v>18400</v>
      </c>
      <c r="AI71" s="127">
        <v>4</v>
      </c>
    </row>
    <row r="72" spans="2:35" ht="12.75">
      <c r="B72" s="127">
        <f t="shared" si="6"/>
        <v>70</v>
      </c>
      <c r="C72" s="138" t="s">
        <v>620</v>
      </c>
      <c r="D72" s="127" t="s">
        <v>621</v>
      </c>
      <c r="E72" s="127" t="s">
        <v>622</v>
      </c>
      <c r="F72" s="127">
        <v>4792</v>
      </c>
      <c r="H72" s="233">
        <f>AVERAGE(F72,G72)</f>
        <v>4792</v>
      </c>
      <c r="I72" s="225">
        <f>H72*4.2</f>
        <v>20126.4</v>
      </c>
      <c r="K72" s="225">
        <f t="shared" si="3"/>
        <v>18806.4</v>
      </c>
      <c r="L72" s="271">
        <v>29500</v>
      </c>
      <c r="M72" s="342">
        <v>0.5</v>
      </c>
      <c r="N72" s="127">
        <v>1</v>
      </c>
      <c r="P72" s="127" t="s">
        <v>629</v>
      </c>
      <c r="AG72" s="127" t="s">
        <v>410</v>
      </c>
      <c r="AH72" s="225">
        <v>18800</v>
      </c>
      <c r="AI72" s="127">
        <v>4</v>
      </c>
    </row>
    <row r="73" spans="2:35" ht="12.75">
      <c r="B73" s="127">
        <f t="shared" si="6"/>
        <v>71</v>
      </c>
      <c r="C73" s="138" t="s">
        <v>624</v>
      </c>
      <c r="D73" s="127" t="s">
        <v>625</v>
      </c>
      <c r="E73" s="127" t="s">
        <v>403</v>
      </c>
      <c r="I73" s="225">
        <f>VLOOKUP(E73,'Calorific values'!AA$4:AE$26,5)</f>
        <v>18916.15</v>
      </c>
      <c r="J73" s="225"/>
      <c r="K73" s="225">
        <f t="shared" si="3"/>
        <v>17596.15</v>
      </c>
      <c r="L73" s="271">
        <v>29500</v>
      </c>
      <c r="M73" s="342">
        <v>0.5</v>
      </c>
      <c r="N73" s="127">
        <v>2</v>
      </c>
      <c r="P73" s="127" t="s">
        <v>633</v>
      </c>
      <c r="AG73" s="228" t="s">
        <v>416</v>
      </c>
      <c r="AH73" s="229">
        <v>20050</v>
      </c>
      <c r="AI73" s="228">
        <v>4</v>
      </c>
    </row>
    <row r="74" spans="2:35" ht="12.75">
      <c r="B74" s="127">
        <f t="shared" si="6"/>
        <v>72</v>
      </c>
      <c r="C74" s="138" t="s">
        <v>627</v>
      </c>
      <c r="D74" s="127" t="s">
        <v>628</v>
      </c>
      <c r="E74" s="127" t="s">
        <v>365</v>
      </c>
      <c r="I74" s="225">
        <f>VLOOKUP(E74,'Calorific values'!AA$4:AE$26,5)</f>
        <v>18684.050000000003</v>
      </c>
      <c r="J74" s="225"/>
      <c r="K74" s="225">
        <f t="shared" si="3"/>
        <v>17364.050000000003</v>
      </c>
      <c r="L74" s="271">
        <v>29500</v>
      </c>
      <c r="M74" s="342">
        <v>0.5</v>
      </c>
      <c r="N74" s="127">
        <v>2</v>
      </c>
      <c r="P74" s="127" t="s">
        <v>637</v>
      </c>
      <c r="AG74" s="127" t="s">
        <v>424</v>
      </c>
      <c r="AH74" s="225">
        <v>19600</v>
      </c>
      <c r="AI74" s="127">
        <v>4</v>
      </c>
    </row>
    <row r="75" spans="2:35" ht="12.75">
      <c r="B75" s="127">
        <f t="shared" si="6"/>
        <v>73</v>
      </c>
      <c r="C75" s="138" t="s">
        <v>630</v>
      </c>
      <c r="D75" s="127" t="s">
        <v>631</v>
      </c>
      <c r="E75" s="127" t="s">
        <v>632</v>
      </c>
      <c r="F75" s="127">
        <v>4000</v>
      </c>
      <c r="G75" s="127">
        <v>4300</v>
      </c>
      <c r="H75" s="233">
        <f>AVERAGE(F75,G75)</f>
        <v>4150</v>
      </c>
      <c r="I75" s="225">
        <f>H75*4.2</f>
        <v>17430</v>
      </c>
      <c r="J75" s="225"/>
      <c r="K75" s="225">
        <f aca="true" t="shared" si="7" ref="K75:K90">I75-1320</f>
        <v>16110</v>
      </c>
      <c r="L75" s="271">
        <v>29500</v>
      </c>
      <c r="M75" s="342">
        <v>0.5</v>
      </c>
      <c r="N75" s="127">
        <v>1</v>
      </c>
      <c r="P75" s="127" t="s">
        <v>639</v>
      </c>
      <c r="AG75" s="127" t="s">
        <v>427</v>
      </c>
      <c r="AH75" s="225">
        <v>19000</v>
      </c>
      <c r="AI75" s="127">
        <v>4</v>
      </c>
    </row>
    <row r="76" spans="2:35" ht="12.75">
      <c r="B76" s="127">
        <f t="shared" si="6"/>
        <v>74</v>
      </c>
      <c r="C76" s="138" t="s">
        <v>634</v>
      </c>
      <c r="D76" s="127" t="s">
        <v>635</v>
      </c>
      <c r="E76" s="127" t="s">
        <v>636</v>
      </c>
      <c r="F76" s="127">
        <v>4134</v>
      </c>
      <c r="G76" s="127">
        <v>4277</v>
      </c>
      <c r="H76" s="233">
        <f>AVERAGE(F76,G76)</f>
        <v>4205.5</v>
      </c>
      <c r="I76" s="225">
        <f>H76*4.2</f>
        <v>17663.100000000002</v>
      </c>
      <c r="K76" s="225">
        <f t="shared" si="7"/>
        <v>16343.100000000002</v>
      </c>
      <c r="L76" s="271">
        <v>29500</v>
      </c>
      <c r="M76" s="342">
        <v>0.5</v>
      </c>
      <c r="N76" s="127">
        <v>1</v>
      </c>
      <c r="P76" s="127" t="s">
        <v>643</v>
      </c>
      <c r="AG76" s="127" t="s">
        <v>432</v>
      </c>
      <c r="AH76" s="225">
        <v>18400</v>
      </c>
      <c r="AI76" s="127">
        <v>4</v>
      </c>
    </row>
    <row r="77" spans="2:35" ht="12.75">
      <c r="B77" s="127">
        <f t="shared" si="6"/>
        <v>75</v>
      </c>
      <c r="C77" s="138" t="s">
        <v>638</v>
      </c>
      <c r="D77" s="127" t="s">
        <v>638</v>
      </c>
      <c r="I77" s="225">
        <v>20000</v>
      </c>
      <c r="K77" s="225">
        <f t="shared" si="7"/>
        <v>18680</v>
      </c>
      <c r="L77" s="271">
        <v>29500</v>
      </c>
      <c r="M77" s="342">
        <v>0.5</v>
      </c>
      <c r="N77" s="127">
        <v>4</v>
      </c>
      <c r="P77" s="127" t="s">
        <v>647</v>
      </c>
      <c r="AG77" s="127" t="s">
        <v>439</v>
      </c>
      <c r="AH77" s="225">
        <v>19800</v>
      </c>
      <c r="AI77" s="127">
        <v>4</v>
      </c>
    </row>
    <row r="78" spans="2:35" ht="12.75">
      <c r="B78" s="127">
        <f t="shared" si="6"/>
        <v>76</v>
      </c>
      <c r="C78" s="138" t="s">
        <v>640</v>
      </c>
      <c r="D78" s="127" t="s">
        <v>641</v>
      </c>
      <c r="E78" s="127" t="s">
        <v>642</v>
      </c>
      <c r="I78" s="225">
        <v>18700</v>
      </c>
      <c r="K78" s="225">
        <f t="shared" si="7"/>
        <v>17380</v>
      </c>
      <c r="L78" s="271">
        <v>29500</v>
      </c>
      <c r="M78" s="342">
        <v>0.5</v>
      </c>
      <c r="N78" s="127">
        <v>4</v>
      </c>
      <c r="P78" s="127" t="s">
        <v>650</v>
      </c>
      <c r="AG78" s="228" t="s">
        <v>445</v>
      </c>
      <c r="AH78" s="229">
        <v>20000</v>
      </c>
      <c r="AI78" s="228">
        <v>4</v>
      </c>
    </row>
    <row r="79" spans="2:35" ht="12.75">
      <c r="B79" s="127">
        <f t="shared" si="6"/>
        <v>77</v>
      </c>
      <c r="C79" s="138" t="s">
        <v>644</v>
      </c>
      <c r="D79" s="127" t="s">
        <v>645</v>
      </c>
      <c r="E79" s="127" t="s">
        <v>646</v>
      </c>
      <c r="I79" s="225">
        <v>19300</v>
      </c>
      <c r="K79" s="225">
        <f t="shared" si="7"/>
        <v>17980</v>
      </c>
      <c r="L79" s="271">
        <v>29500</v>
      </c>
      <c r="M79" s="342">
        <v>0.5</v>
      </c>
      <c r="N79" s="127">
        <v>4</v>
      </c>
      <c r="P79" s="127" t="s">
        <v>654</v>
      </c>
      <c r="AG79" s="228" t="s">
        <v>452</v>
      </c>
      <c r="AH79" s="229">
        <v>19300</v>
      </c>
      <c r="AI79" s="228">
        <v>4</v>
      </c>
    </row>
    <row r="80" spans="2:35" ht="12.75">
      <c r="B80" s="127">
        <f t="shared" si="6"/>
        <v>78</v>
      </c>
      <c r="C80" s="138" t="s">
        <v>648</v>
      </c>
      <c r="D80" s="127" t="s">
        <v>553</v>
      </c>
      <c r="E80" s="127" t="s">
        <v>649</v>
      </c>
      <c r="I80" s="225">
        <v>20700</v>
      </c>
      <c r="K80" s="225">
        <f t="shared" si="7"/>
        <v>19380</v>
      </c>
      <c r="L80" s="271">
        <v>29500</v>
      </c>
      <c r="M80" s="342">
        <v>0.5</v>
      </c>
      <c r="N80" s="127">
        <v>4</v>
      </c>
      <c r="P80" s="127" t="s">
        <v>657</v>
      </c>
      <c r="AG80" s="239" t="s">
        <v>458</v>
      </c>
      <c r="AH80" s="225">
        <v>18600</v>
      </c>
      <c r="AI80" s="127">
        <v>4</v>
      </c>
    </row>
    <row r="81" spans="2:35" ht="12.75">
      <c r="B81" s="127">
        <f t="shared" si="6"/>
        <v>79</v>
      </c>
      <c r="C81" s="138" t="s">
        <v>651</v>
      </c>
      <c r="D81" s="127" t="s">
        <v>652</v>
      </c>
      <c r="E81" s="127" t="s">
        <v>653</v>
      </c>
      <c r="F81" s="127">
        <v>4800</v>
      </c>
      <c r="H81" s="233">
        <f>AVERAGE(F81,G81)</f>
        <v>4800</v>
      </c>
      <c r="I81" s="225">
        <f>H81*4.2</f>
        <v>20160</v>
      </c>
      <c r="J81" s="225"/>
      <c r="K81" s="225">
        <f t="shared" si="7"/>
        <v>18840</v>
      </c>
      <c r="L81" s="271">
        <v>29500</v>
      </c>
      <c r="M81" s="342">
        <v>0.5</v>
      </c>
      <c r="N81" s="127">
        <v>1</v>
      </c>
      <c r="P81" s="127" t="s">
        <v>659</v>
      </c>
      <c r="AG81" s="127" t="s">
        <v>464</v>
      </c>
      <c r="AH81" s="225">
        <v>18100</v>
      </c>
      <c r="AI81" s="127">
        <v>4</v>
      </c>
    </row>
    <row r="82" spans="2:35" ht="12.75">
      <c r="B82" s="127">
        <f t="shared" si="6"/>
        <v>80</v>
      </c>
      <c r="C82" s="138" t="s">
        <v>655</v>
      </c>
      <c r="D82" s="127" t="s">
        <v>656</v>
      </c>
      <c r="E82" s="127" t="s">
        <v>400</v>
      </c>
      <c r="I82" s="225">
        <f>VLOOKUP(E82,'Calorific values'!AA$4:AE$26,5)</f>
        <v>22513.7</v>
      </c>
      <c r="K82" s="225">
        <f t="shared" si="7"/>
        <v>21193.7</v>
      </c>
      <c r="L82" s="271">
        <v>29500</v>
      </c>
      <c r="M82" s="342">
        <v>0.5</v>
      </c>
      <c r="N82" s="127">
        <v>2</v>
      </c>
      <c r="P82" s="127" t="s">
        <v>662</v>
      </c>
      <c r="AG82" s="228" t="s">
        <v>469</v>
      </c>
      <c r="AH82" s="229">
        <v>20000</v>
      </c>
      <c r="AI82" s="228">
        <v>4</v>
      </c>
    </row>
    <row r="83" spans="2:35" ht="12.75">
      <c r="B83" s="127">
        <f t="shared" si="6"/>
        <v>81</v>
      </c>
      <c r="C83" s="138" t="s">
        <v>658</v>
      </c>
      <c r="D83" s="127" t="s">
        <v>658</v>
      </c>
      <c r="F83" s="127">
        <v>4500</v>
      </c>
      <c r="H83" s="233">
        <f>AVERAGE(F83,G83)</f>
        <v>4500</v>
      </c>
      <c r="I83" s="225">
        <f>H83*4.2</f>
        <v>18900</v>
      </c>
      <c r="K83" s="225">
        <f t="shared" si="7"/>
        <v>17580</v>
      </c>
      <c r="L83" s="271">
        <v>29500</v>
      </c>
      <c r="M83" s="342">
        <v>0.5</v>
      </c>
      <c r="N83" s="127">
        <v>1</v>
      </c>
      <c r="AG83" s="127" t="s">
        <v>476</v>
      </c>
      <c r="AH83" s="225">
        <v>18700</v>
      </c>
      <c r="AI83" s="127">
        <v>4</v>
      </c>
    </row>
    <row r="84" spans="2:35" ht="12.75">
      <c r="B84" s="127">
        <f t="shared" si="6"/>
        <v>82</v>
      </c>
      <c r="C84" s="138" t="s">
        <v>660</v>
      </c>
      <c r="D84" s="127" t="s">
        <v>661</v>
      </c>
      <c r="E84" s="127" t="s">
        <v>319</v>
      </c>
      <c r="I84" s="225">
        <f>VLOOKUP(E84,'Calorific values'!AA$4:AE$26,5)</f>
        <v>19519.61</v>
      </c>
      <c r="K84" s="225">
        <f t="shared" si="7"/>
        <v>18199.61</v>
      </c>
      <c r="L84" s="271">
        <v>29500</v>
      </c>
      <c r="M84" s="342">
        <v>0.5</v>
      </c>
      <c r="N84" s="127">
        <v>2</v>
      </c>
      <c r="AG84" s="228" t="s">
        <v>481</v>
      </c>
      <c r="AH84" s="229">
        <v>20550</v>
      </c>
      <c r="AI84" s="228">
        <v>4</v>
      </c>
    </row>
    <row r="85" spans="2:35" ht="12.75">
      <c r="B85" s="127">
        <f t="shared" si="6"/>
        <v>83</v>
      </c>
      <c r="C85" s="138" t="s">
        <v>663</v>
      </c>
      <c r="D85" s="127" t="s">
        <v>664</v>
      </c>
      <c r="E85" s="127" t="s">
        <v>390</v>
      </c>
      <c r="I85" s="225">
        <f>VLOOKUP(E85,'Calorific values'!AA$4:AE$26,5)</f>
        <v>19519.61</v>
      </c>
      <c r="J85" s="225"/>
      <c r="K85" s="225">
        <f t="shared" si="7"/>
        <v>18199.61</v>
      </c>
      <c r="L85" s="271">
        <v>29500</v>
      </c>
      <c r="M85" s="342">
        <v>0.5</v>
      </c>
      <c r="N85" s="127">
        <v>2</v>
      </c>
      <c r="AG85" s="127" t="s">
        <v>488</v>
      </c>
      <c r="AH85" s="225">
        <v>19750</v>
      </c>
      <c r="AI85" s="127">
        <v>4</v>
      </c>
    </row>
    <row r="86" spans="2:35" ht="12.75">
      <c r="B86" s="127">
        <f t="shared" si="6"/>
        <v>84</v>
      </c>
      <c r="C86" s="138" t="s">
        <v>665</v>
      </c>
      <c r="D86" s="127" t="s">
        <v>666</v>
      </c>
      <c r="E86" s="127" t="s">
        <v>326</v>
      </c>
      <c r="I86" s="225">
        <f>VLOOKUP(E86,'Calorific values'!AA$4:AE$26,5)</f>
        <v>18962.570000000003</v>
      </c>
      <c r="K86" s="225">
        <f t="shared" si="7"/>
        <v>17642.570000000003</v>
      </c>
      <c r="L86" s="271">
        <v>29500</v>
      </c>
      <c r="M86" s="342">
        <v>0.5</v>
      </c>
      <c r="N86" s="127">
        <v>2</v>
      </c>
      <c r="AG86" s="127" t="s">
        <v>673</v>
      </c>
      <c r="AH86" s="225">
        <v>19800</v>
      </c>
      <c r="AI86" s="127">
        <v>4</v>
      </c>
    </row>
    <row r="87" spans="2:35" ht="12.75">
      <c r="B87" s="127">
        <f t="shared" si="6"/>
        <v>85</v>
      </c>
      <c r="C87" s="138" t="s">
        <v>667</v>
      </c>
      <c r="D87" s="127" t="s">
        <v>668</v>
      </c>
      <c r="E87" s="127" t="s">
        <v>669</v>
      </c>
      <c r="I87" s="225">
        <v>16300</v>
      </c>
      <c r="K87" s="225">
        <f t="shared" si="7"/>
        <v>14980</v>
      </c>
      <c r="L87" s="271">
        <v>29500</v>
      </c>
      <c r="M87" s="342">
        <v>0.5</v>
      </c>
      <c r="N87" s="127">
        <v>4</v>
      </c>
      <c r="AG87" s="127" t="s">
        <v>501</v>
      </c>
      <c r="AH87" s="225">
        <v>18400</v>
      </c>
      <c r="AI87" s="127">
        <v>4</v>
      </c>
    </row>
    <row r="88" spans="2:35" ht="12.75">
      <c r="B88" s="127">
        <f t="shared" si="6"/>
        <v>86</v>
      </c>
      <c r="C88" s="138" t="s">
        <v>670</v>
      </c>
      <c r="D88" s="127" t="s">
        <v>671</v>
      </c>
      <c r="E88" s="127" t="s">
        <v>672</v>
      </c>
      <c r="I88" s="225">
        <v>15400</v>
      </c>
      <c r="K88" s="225">
        <f t="shared" si="7"/>
        <v>14080</v>
      </c>
      <c r="L88" s="271">
        <v>29500</v>
      </c>
      <c r="M88" s="342">
        <v>0.5</v>
      </c>
      <c r="N88" s="127">
        <v>4</v>
      </c>
      <c r="AG88" s="127" t="s">
        <v>506</v>
      </c>
      <c r="AH88" s="225">
        <v>19300</v>
      </c>
      <c r="AI88" s="127">
        <v>4</v>
      </c>
    </row>
    <row r="89" spans="2:35" ht="12.75">
      <c r="B89" s="127">
        <f t="shared" si="6"/>
        <v>87</v>
      </c>
      <c r="C89" s="138" t="s">
        <v>674</v>
      </c>
      <c r="D89" s="127" t="s">
        <v>675</v>
      </c>
      <c r="E89" s="127" t="s">
        <v>676</v>
      </c>
      <c r="F89" s="127">
        <v>4900</v>
      </c>
      <c r="H89" s="233">
        <f>AVERAGE(F89,G89)</f>
        <v>4900</v>
      </c>
      <c r="I89" s="225">
        <f>H89*4.2</f>
        <v>20580</v>
      </c>
      <c r="K89" s="225">
        <f t="shared" si="7"/>
        <v>19260</v>
      </c>
      <c r="L89" s="271">
        <v>29500</v>
      </c>
      <c r="M89" s="342">
        <v>0.5</v>
      </c>
      <c r="N89" s="127">
        <v>1</v>
      </c>
      <c r="AG89" s="228" t="s">
        <v>511</v>
      </c>
      <c r="AH89" s="229">
        <v>18500</v>
      </c>
      <c r="AI89" s="228">
        <v>4</v>
      </c>
    </row>
    <row r="90" spans="2:35" ht="11.25" customHeight="1">
      <c r="B90" s="127">
        <f t="shared" si="6"/>
        <v>88</v>
      </c>
      <c r="C90" s="138" t="s">
        <v>677</v>
      </c>
      <c r="D90" s="127" t="s">
        <v>677</v>
      </c>
      <c r="I90" s="225">
        <v>18300</v>
      </c>
      <c r="K90" s="225">
        <f t="shared" si="7"/>
        <v>16980</v>
      </c>
      <c r="L90" s="271">
        <v>29500</v>
      </c>
      <c r="M90" s="342">
        <v>0.5</v>
      </c>
      <c r="N90" s="127">
        <v>4</v>
      </c>
      <c r="AG90" s="127" t="s">
        <v>519</v>
      </c>
      <c r="AH90" s="225">
        <v>19750</v>
      </c>
      <c r="AI90" s="127">
        <v>4</v>
      </c>
    </row>
    <row r="91" spans="33:35" ht="12.75">
      <c r="AG91" s="228" t="s">
        <v>524</v>
      </c>
      <c r="AH91" s="229">
        <v>20100</v>
      </c>
      <c r="AI91" s="228">
        <v>4</v>
      </c>
    </row>
    <row r="92" spans="2:35" ht="12.75">
      <c r="B92" s="240"/>
      <c r="C92" s="443" t="s">
        <v>678</v>
      </c>
      <c r="D92" s="443"/>
      <c r="E92" s="443"/>
      <c r="F92" s="443"/>
      <c r="G92" s="443"/>
      <c r="H92" s="443"/>
      <c r="I92" s="443"/>
      <c r="AG92" s="228" t="s">
        <v>529</v>
      </c>
      <c r="AH92" s="229">
        <v>21300</v>
      </c>
      <c r="AI92" s="228">
        <v>4</v>
      </c>
    </row>
    <row r="93" spans="2:35" ht="12.75">
      <c r="B93" s="240"/>
      <c r="C93" s="241" t="s">
        <v>679</v>
      </c>
      <c r="D93" s="240" t="s">
        <v>680</v>
      </c>
      <c r="E93" s="240"/>
      <c r="F93" s="240"/>
      <c r="G93" s="240"/>
      <c r="H93" s="240"/>
      <c r="I93" s="242">
        <f>MIN($I$14:$I$90)</f>
        <v>15400</v>
      </c>
      <c r="AG93" s="127" t="s">
        <v>534</v>
      </c>
      <c r="AH93" s="225">
        <v>20000</v>
      </c>
      <c r="AI93" s="127">
        <v>4</v>
      </c>
    </row>
    <row r="94" spans="2:35" ht="12.75">
      <c r="B94" s="240"/>
      <c r="C94" s="241" t="s">
        <v>681</v>
      </c>
      <c r="D94" s="240"/>
      <c r="E94" s="240"/>
      <c r="F94" s="240"/>
      <c r="G94" s="240"/>
      <c r="H94" s="240"/>
      <c r="I94" s="242">
        <f>MAX($I$14:$I$90)</f>
        <v>22680</v>
      </c>
      <c r="AG94" s="127" t="s">
        <v>541</v>
      </c>
      <c r="AH94" s="225">
        <v>18700</v>
      </c>
      <c r="AI94" s="127">
        <v>4</v>
      </c>
    </row>
    <row r="95" spans="2:35" ht="12.75">
      <c r="B95" s="240"/>
      <c r="C95" s="241" t="s">
        <v>682</v>
      </c>
      <c r="D95" s="240"/>
      <c r="E95" s="240"/>
      <c r="F95" s="240"/>
      <c r="G95" s="240"/>
      <c r="H95" s="240"/>
      <c r="I95" s="242">
        <f>STDEV($I$14:$I$90)</f>
        <v>1278.2718886083092</v>
      </c>
      <c r="AG95" s="127" t="s">
        <v>546</v>
      </c>
      <c r="AH95" s="225">
        <v>19300</v>
      </c>
      <c r="AI95" s="127">
        <v>4</v>
      </c>
    </row>
    <row r="96" spans="2:35" ht="12.75">
      <c r="B96" s="240"/>
      <c r="C96" s="241" t="s">
        <v>199</v>
      </c>
      <c r="D96" s="240"/>
      <c r="E96" s="240"/>
      <c r="F96" s="240"/>
      <c r="G96" s="240"/>
      <c r="H96" s="240"/>
      <c r="I96" s="242">
        <f>AVERAGE($I$14:$I$90)</f>
        <v>19450.20324675325</v>
      </c>
      <c r="AG96" s="127" t="s">
        <v>553</v>
      </c>
      <c r="AH96" s="225">
        <v>20700</v>
      </c>
      <c r="AI96" s="127">
        <v>4</v>
      </c>
    </row>
    <row r="97" spans="2:35" ht="12.75">
      <c r="B97" s="240"/>
      <c r="C97" s="241" t="s">
        <v>683</v>
      </c>
      <c r="D97" s="240"/>
      <c r="E97" s="240"/>
      <c r="F97" s="240"/>
      <c r="G97" s="240"/>
      <c r="H97" s="240"/>
      <c r="I97" s="242">
        <f>QUARTILE($I$14:$I$90,1)</f>
        <v>18684.050000000003</v>
      </c>
      <c r="AG97" s="228" t="s">
        <v>558</v>
      </c>
      <c r="AH97" s="229">
        <v>20300</v>
      </c>
      <c r="AI97" s="228">
        <v>4</v>
      </c>
    </row>
    <row r="98" spans="2:35" ht="12.75">
      <c r="B98" s="240"/>
      <c r="C98" s="241" t="s">
        <v>684</v>
      </c>
      <c r="D98" s="240"/>
      <c r="E98" s="240"/>
      <c r="F98" s="240"/>
      <c r="G98" s="240"/>
      <c r="H98" s="240"/>
      <c r="I98" s="242">
        <f>MEDIAN($I$14:$I$90)</f>
        <v>19320</v>
      </c>
      <c r="AG98" s="127" t="s">
        <v>563</v>
      </c>
      <c r="AH98" s="225">
        <v>16300</v>
      </c>
      <c r="AI98" s="127">
        <v>4</v>
      </c>
    </row>
    <row r="99" spans="2:35" ht="12.75">
      <c r="B99" s="240"/>
      <c r="C99" s="241" t="s">
        <v>685</v>
      </c>
      <c r="D99" s="240"/>
      <c r="E99" s="240"/>
      <c r="F99" s="240"/>
      <c r="G99" s="240"/>
      <c r="H99" s="240"/>
      <c r="I99" s="242">
        <f>QUARTILE($I$14:$I$90,3)</f>
        <v>20160</v>
      </c>
      <c r="AG99" s="127" t="s">
        <v>567</v>
      </c>
      <c r="AH99" s="225">
        <v>15400</v>
      </c>
      <c r="AI99" s="127">
        <v>4</v>
      </c>
    </row>
    <row r="100" spans="2:35" ht="12.75">
      <c r="B100" s="240"/>
      <c r="C100" s="125"/>
      <c r="D100" s="240"/>
      <c r="E100" s="240"/>
      <c r="F100" s="240"/>
      <c r="G100" s="240"/>
      <c r="H100" s="240"/>
      <c r="I100" s="240"/>
      <c r="AG100" s="127" t="s">
        <v>571</v>
      </c>
      <c r="AH100" s="225">
        <v>18300</v>
      </c>
      <c r="AI100" s="127">
        <v>4</v>
      </c>
    </row>
    <row r="101" spans="2:9" ht="12.75">
      <c r="B101" s="240">
        <v>1</v>
      </c>
      <c r="C101" s="125" t="s">
        <v>686</v>
      </c>
      <c r="D101" s="240"/>
      <c r="E101" s="240"/>
      <c r="F101" s="240"/>
      <c r="G101" s="240"/>
      <c r="H101" s="240"/>
      <c r="I101" s="240"/>
    </row>
    <row r="102" spans="2:9" ht="24">
      <c r="B102" s="240">
        <v>2</v>
      </c>
      <c r="C102" s="125" t="s">
        <v>687</v>
      </c>
      <c r="D102" s="240"/>
      <c r="E102" s="240"/>
      <c r="F102" s="240"/>
      <c r="G102" s="240"/>
      <c r="H102" s="240"/>
      <c r="I102" s="240"/>
    </row>
    <row r="103" spans="2:9" ht="24">
      <c r="B103" s="240">
        <v>3</v>
      </c>
      <c r="C103" s="125" t="s">
        <v>688</v>
      </c>
      <c r="D103" s="240"/>
      <c r="E103" s="240"/>
      <c r="F103" s="240"/>
      <c r="G103" s="240"/>
      <c r="H103" s="240"/>
      <c r="I103" s="240"/>
    </row>
    <row r="104" spans="2:9" ht="24">
      <c r="B104" s="240">
        <v>4</v>
      </c>
      <c r="C104" s="125" t="s">
        <v>689</v>
      </c>
      <c r="D104" s="240"/>
      <c r="E104" s="240"/>
      <c r="F104" s="240"/>
      <c r="G104" s="240"/>
      <c r="H104" s="240"/>
      <c r="I104" s="240"/>
    </row>
  </sheetData>
  <sheetProtection/>
  <mergeCells count="4">
    <mergeCell ref="F1:H1"/>
    <mergeCell ref="AB2:AC2"/>
    <mergeCell ref="AD2:AE2"/>
    <mergeCell ref="C92:I92"/>
  </mergeCells>
  <printOptions/>
  <pageMargins left="0.7479166666666667" right="0.7479166666666667" top="0.9840277777777777" bottom="0.9840277777777777" header="0.5118055555555555" footer="0.511805555555555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sheetPr codeName="Sheet7"/>
  <dimension ref="A1:I10"/>
  <sheetViews>
    <sheetView showGridLines="0" zoomScalePageLayoutView="0" workbookViewId="0" topLeftCell="A1">
      <selection activeCell="H11" sqref="H11"/>
    </sheetView>
  </sheetViews>
  <sheetFormatPr defaultColWidth="9.140625" defaultRowHeight="12.75"/>
  <cols>
    <col min="1" max="1" width="2.28125" style="0" customWidth="1"/>
    <col min="2" max="2" width="18.57421875" style="0" customWidth="1"/>
    <col min="3" max="3" width="14.421875" style="0" customWidth="1"/>
  </cols>
  <sheetData>
    <row r="1" spans="2:9" ht="12.75">
      <c r="B1" s="223" t="s">
        <v>222</v>
      </c>
      <c r="C1" s="223" t="s">
        <v>719</v>
      </c>
      <c r="H1" s="312" t="s">
        <v>769</v>
      </c>
      <c r="I1" s="312" t="s">
        <v>790</v>
      </c>
    </row>
    <row r="2" ht="12.75">
      <c r="B2" s="127"/>
    </row>
    <row r="3" spans="1:3" ht="12.75">
      <c r="A3">
        <v>1</v>
      </c>
      <c r="B3" s="127" t="s">
        <v>256</v>
      </c>
      <c r="C3" t="s">
        <v>256</v>
      </c>
    </row>
    <row r="4" spans="1:3" ht="12.75">
      <c r="A4">
        <f>A3+1</f>
        <v>2</v>
      </c>
      <c r="B4" s="127" t="s">
        <v>268</v>
      </c>
      <c r="C4" t="s">
        <v>720</v>
      </c>
    </row>
    <row r="5" spans="1:3" ht="12.75">
      <c r="A5">
        <f>A4+1</f>
        <v>3</v>
      </c>
      <c r="B5" s="127" t="s">
        <v>275</v>
      </c>
      <c r="C5" t="s">
        <v>721</v>
      </c>
    </row>
    <row r="6" spans="1:8" ht="12.75">
      <c r="A6">
        <f>A5+1</f>
        <v>4</v>
      </c>
      <c r="B6" s="127" t="s">
        <v>279</v>
      </c>
      <c r="C6" t="s">
        <v>722</v>
      </c>
      <c r="H6" t="s">
        <v>840</v>
      </c>
    </row>
    <row r="7" spans="1:8" ht="12.75">
      <c r="A7">
        <f>A6+1</f>
        <v>5</v>
      </c>
      <c r="B7" s="127" t="s">
        <v>281</v>
      </c>
      <c r="C7" t="s">
        <v>724</v>
      </c>
      <c r="H7" t="s">
        <v>841</v>
      </c>
    </row>
    <row r="8" spans="1:8" ht="12.75">
      <c r="A8">
        <f>A7+1</f>
        <v>6</v>
      </c>
      <c r="B8" s="127" t="s">
        <v>283</v>
      </c>
      <c r="C8" t="s">
        <v>280</v>
      </c>
      <c r="H8" t="s">
        <v>842</v>
      </c>
    </row>
    <row r="9" spans="3:8" ht="12.75">
      <c r="C9" t="s">
        <v>725</v>
      </c>
      <c r="H9" t="s">
        <v>843</v>
      </c>
    </row>
    <row r="10" spans="3:8" ht="12.75">
      <c r="C10" t="s">
        <v>723</v>
      </c>
      <c r="H10" t="s">
        <v>844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Jetter, James</cp:lastModifiedBy>
  <cp:lastPrinted>2009-10-24T16:04:15Z</cp:lastPrinted>
  <dcterms:created xsi:type="dcterms:W3CDTF">2009-08-08T21:16:22Z</dcterms:created>
  <dcterms:modified xsi:type="dcterms:W3CDTF">2012-06-19T20:33:27Z</dcterms:modified>
  <cp:category/>
  <cp:version/>
  <cp:contentType/>
  <cp:contentStatus/>
</cp:coreProperties>
</file>